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arti\OneDrive\Dokumenter\Konsulent\DFFalment\Budget\"/>
    </mc:Choice>
  </mc:AlternateContent>
  <xr:revisionPtr revIDLastSave="23" documentId="13_ncr:1_{0386B8F9-56F3-4BF4-9AEA-D866335AF874}" xr6:coauthVersionLast="32" xr6:coauthVersionMax="32" xr10:uidLastSave="{0A3BA630-85E7-4314-97CE-981C0CB4361F}"/>
  <bookViews>
    <workbookView xWindow="0" yWindow="0" windowWidth="23040" windowHeight="9072" tabRatio="607" xr2:uid="{00000000-000D-0000-FFFF-FFFF00000000}"/>
  </bookViews>
  <sheets>
    <sheet name="DFF Budget 2018 - 2021" sheetId="7" r:id="rId1"/>
    <sheet name="2018-elite" sheetId="12" r:id="rId2"/>
    <sheet name="2018 Sommerlejr" sheetId="20" r:id="rId3"/>
    <sheet name="2017 Budget - sommerlejr" sheetId="8" r:id="rId4"/>
    <sheet name="DFF Budget 2014-15" sheetId="9" r:id="rId5"/>
  </sheets>
  <definedNames>
    <definedName name="_xlnm._FilterDatabase" localSheetId="4" hidden="1">'DFF Budget 2014-15'!$A$1:$L$1</definedName>
    <definedName name="_xlnm._FilterDatabase" localSheetId="0" hidden="1">'DFF Budget 2018 - 2021'!$A$1:$K$1</definedName>
  </definedNames>
  <calcPr calcId="179017"/>
  <fileRecoveryPr autoRecover="0"/>
</workbook>
</file>

<file path=xl/calcChain.xml><?xml version="1.0" encoding="utf-8"?>
<calcChain xmlns="http://schemas.openxmlformats.org/spreadsheetml/2006/main">
  <c r="R6" i="7" l="1"/>
  <c r="Q6" i="7"/>
  <c r="P6" i="7"/>
  <c r="L6" i="7"/>
  <c r="Q249" i="7"/>
  <c r="R249" i="7"/>
  <c r="P249" i="7"/>
  <c r="L249" i="7"/>
  <c r="T249" i="7" s="1"/>
  <c r="L344" i="7"/>
  <c r="L40" i="7"/>
  <c r="L39" i="7"/>
  <c r="L35" i="7"/>
  <c r="R312" i="7"/>
  <c r="Q312" i="7"/>
  <c r="P312" i="7"/>
  <c r="L312" i="7"/>
  <c r="L289" i="7"/>
  <c r="R48" i="7"/>
  <c r="Q48" i="7"/>
  <c r="P48" i="7"/>
  <c r="R20" i="7"/>
  <c r="R19" i="7"/>
  <c r="Q20" i="7"/>
  <c r="Q19" i="7"/>
  <c r="P19" i="7"/>
  <c r="P20" i="7"/>
  <c r="L20" i="7"/>
  <c r="L19" i="7"/>
  <c r="R173" i="7"/>
  <c r="Q173" i="7"/>
  <c r="P173" i="7"/>
  <c r="L173" i="7"/>
  <c r="L181" i="7" s="1"/>
  <c r="L166" i="7" s="1"/>
  <c r="L22" i="7"/>
  <c r="L21" i="7"/>
  <c r="C4" i="20"/>
  <c r="C33" i="20"/>
  <c r="C5" i="20" s="1"/>
  <c r="C8" i="20" s="1"/>
  <c r="R22" i="7"/>
  <c r="Q22" i="7"/>
  <c r="P22" i="7"/>
  <c r="R21" i="7"/>
  <c r="Q21" i="7"/>
  <c r="P21" i="7"/>
  <c r="K2" i="20"/>
  <c r="N6" i="20"/>
  <c r="K6" i="20"/>
  <c r="H2" i="20" s="1"/>
  <c r="C13" i="20" s="1"/>
  <c r="C15" i="20"/>
  <c r="C16" i="20"/>
  <c r="N358" i="7"/>
  <c r="N348" i="7" s="1"/>
  <c r="M358" i="7"/>
  <c r="M348" i="7" s="1"/>
  <c r="O344" i="7"/>
  <c r="N342" i="7"/>
  <c r="N346" i="7" s="1"/>
  <c r="N360" i="7" s="1"/>
  <c r="M342" i="7"/>
  <c r="M346" i="7" s="1"/>
  <c r="N275" i="7"/>
  <c r="N272" i="7" s="1"/>
  <c r="M275" i="7"/>
  <c r="M272" i="7" s="1"/>
  <c r="N270" i="7"/>
  <c r="N265" i="7" s="1"/>
  <c r="M270" i="7"/>
  <c r="N263" i="7"/>
  <c r="N259" i="7" s="1"/>
  <c r="O255" i="7"/>
  <c r="O254" i="7"/>
  <c r="O253" i="7"/>
  <c r="O249" i="7"/>
  <c r="O248" i="7"/>
  <c r="O247" i="7"/>
  <c r="O246" i="7"/>
  <c r="O245" i="7"/>
  <c r="O244" i="7"/>
  <c r="O243" i="7"/>
  <c r="N257" i="7"/>
  <c r="N252" i="7" s="1"/>
  <c r="M257" i="7"/>
  <c r="N250" i="7"/>
  <c r="N242" i="7" s="1"/>
  <c r="M250" i="7"/>
  <c r="M242" i="7" s="1"/>
  <c r="N279" i="7"/>
  <c r="N218" i="7" s="1"/>
  <c r="M279" i="7"/>
  <c r="M218" i="7" s="1"/>
  <c r="O218" i="7" s="1"/>
  <c r="N219" i="7"/>
  <c r="M219" i="7"/>
  <c r="N215" i="7"/>
  <c r="N210" i="7" s="1"/>
  <c r="M215" i="7"/>
  <c r="O214" i="7"/>
  <c r="O213" i="7"/>
  <c r="O212" i="7"/>
  <c r="O211" i="7"/>
  <c r="N209" i="7"/>
  <c r="N202" i="7"/>
  <c r="M209" i="7"/>
  <c r="M202" i="7" s="1"/>
  <c r="O208" i="7"/>
  <c r="O207" i="7"/>
  <c r="O206" i="7"/>
  <c r="O205" i="7"/>
  <c r="O204" i="7"/>
  <c r="O203" i="7"/>
  <c r="N200" i="7"/>
  <c r="M200" i="7"/>
  <c r="O198" i="7"/>
  <c r="O197" i="7"/>
  <c r="N199" i="7"/>
  <c r="M199" i="7"/>
  <c r="N196" i="7"/>
  <c r="M196" i="7"/>
  <c r="O196" i="7" s="1"/>
  <c r="O193" i="7"/>
  <c r="O192" i="7"/>
  <c r="N190" i="7"/>
  <c r="O190" i="7" s="1"/>
  <c r="O185" i="7" s="1"/>
  <c r="N195" i="7"/>
  <c r="N184" i="7" s="1"/>
  <c r="M190" i="7"/>
  <c r="M195" i="7" s="1"/>
  <c r="O189" i="7"/>
  <c r="O188" i="7"/>
  <c r="O187" i="7"/>
  <c r="O186" i="7"/>
  <c r="N181" i="7"/>
  <c r="N166" i="7" s="1"/>
  <c r="M181" i="7"/>
  <c r="O181" i="7" s="1"/>
  <c r="O166" i="7" s="1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N164" i="7"/>
  <c r="N159" i="7" s="1"/>
  <c r="M164" i="7"/>
  <c r="M159" i="7"/>
  <c r="O163" i="7"/>
  <c r="O162" i="7"/>
  <c r="O161" i="7"/>
  <c r="O160" i="7"/>
  <c r="N155" i="7"/>
  <c r="N147" i="7" s="1"/>
  <c r="M155" i="7"/>
  <c r="M147" i="7"/>
  <c r="O154" i="7"/>
  <c r="O153" i="7"/>
  <c r="O152" i="7"/>
  <c r="O151" i="7"/>
  <c r="O150" i="7"/>
  <c r="O149" i="7"/>
  <c r="O148" i="7"/>
  <c r="O144" i="7"/>
  <c r="O143" i="7"/>
  <c r="O142" i="7"/>
  <c r="O141" i="7"/>
  <c r="N145" i="7"/>
  <c r="N140" i="7" s="1"/>
  <c r="M145" i="7"/>
  <c r="O137" i="7"/>
  <c r="O136" i="7"/>
  <c r="O135" i="7"/>
  <c r="O134" i="7"/>
  <c r="N138" i="7"/>
  <c r="N133" i="7" s="1"/>
  <c r="O133" i="7" s="1"/>
  <c r="M138" i="7"/>
  <c r="O130" i="7"/>
  <c r="O129" i="7"/>
  <c r="O128" i="7"/>
  <c r="O126" i="7"/>
  <c r="N126" i="7"/>
  <c r="M126" i="7"/>
  <c r="N131" i="7"/>
  <c r="N127" i="7"/>
  <c r="M131" i="7"/>
  <c r="M127" i="7" s="1"/>
  <c r="O122" i="7"/>
  <c r="O121" i="7"/>
  <c r="O120" i="7"/>
  <c r="O119" i="7"/>
  <c r="O118" i="7"/>
  <c r="O117" i="7"/>
  <c r="N123" i="7"/>
  <c r="N116" i="7" s="1"/>
  <c r="M123" i="7"/>
  <c r="M125" i="7" s="1"/>
  <c r="N114" i="7"/>
  <c r="O114" i="7" s="1"/>
  <c r="O110" i="7" s="1"/>
  <c r="M114" i="7"/>
  <c r="M110" i="7" s="1"/>
  <c r="O113" i="7"/>
  <c r="O112" i="7"/>
  <c r="O111" i="7"/>
  <c r="O106" i="7"/>
  <c r="O105" i="7"/>
  <c r="O102" i="7"/>
  <c r="O101" i="7"/>
  <c r="O100" i="7"/>
  <c r="O99" i="7"/>
  <c r="O98" i="7"/>
  <c r="N103" i="7"/>
  <c r="N97" i="7" s="1"/>
  <c r="M103" i="7"/>
  <c r="M108" i="7" s="1"/>
  <c r="M78" i="7" s="1"/>
  <c r="O94" i="7"/>
  <c r="O93" i="7"/>
  <c r="O92" i="7"/>
  <c r="N95" i="7"/>
  <c r="N91" i="7"/>
  <c r="M95" i="7"/>
  <c r="M91" i="7" s="1"/>
  <c r="O91" i="7" s="1"/>
  <c r="N89" i="7"/>
  <c r="N108" i="7" s="1"/>
  <c r="N78" i="7" s="1"/>
  <c r="N85" i="7"/>
  <c r="M89" i="7"/>
  <c r="M85" i="7" s="1"/>
  <c r="O88" i="7"/>
  <c r="O87" i="7"/>
  <c r="O86" i="7"/>
  <c r="O82" i="7"/>
  <c r="O81" i="7"/>
  <c r="O80" i="7"/>
  <c r="O83" i="7" s="1"/>
  <c r="N83" i="7"/>
  <c r="N79" i="7" s="1"/>
  <c r="M83" i="7"/>
  <c r="M79" i="7"/>
  <c r="N41" i="7"/>
  <c r="M41" i="7"/>
  <c r="N31" i="7"/>
  <c r="M31" i="7"/>
  <c r="N27" i="7"/>
  <c r="M27" i="7"/>
  <c r="N23" i="7"/>
  <c r="M23" i="7"/>
  <c r="N16" i="7"/>
  <c r="M16" i="7"/>
  <c r="N50" i="7"/>
  <c r="N73" i="7"/>
  <c r="O73" i="7" s="1"/>
  <c r="O69" i="7" s="1"/>
  <c r="M73" i="7"/>
  <c r="N67" i="7"/>
  <c r="M67" i="7"/>
  <c r="M50" i="7"/>
  <c r="O75" i="7"/>
  <c r="O72" i="7"/>
  <c r="O71" i="7"/>
  <c r="O70" i="7"/>
  <c r="O66" i="7"/>
  <c r="O64" i="7"/>
  <c r="O63" i="7"/>
  <c r="O62" i="7"/>
  <c r="O61" i="7"/>
  <c r="O60" i="7"/>
  <c r="O59" i="7"/>
  <c r="O58" i="7"/>
  <c r="O57" i="7"/>
  <c r="O56" i="7"/>
  <c r="O55" i="7"/>
  <c r="O54" i="7"/>
  <c r="O53" i="7"/>
  <c r="O49" i="7"/>
  <c r="O48" i="7"/>
  <c r="O40" i="7"/>
  <c r="O39" i="7"/>
  <c r="O38" i="7"/>
  <c r="O37" i="7"/>
  <c r="O36" i="7"/>
  <c r="O35" i="7"/>
  <c r="O34" i="7"/>
  <c r="O30" i="7"/>
  <c r="O31" i="7"/>
  <c r="O29" i="7" s="1"/>
  <c r="O26" i="7"/>
  <c r="O27" i="7" s="1"/>
  <c r="O25" i="7" s="1"/>
  <c r="O22" i="7"/>
  <c r="O21" i="7"/>
  <c r="O20" i="7"/>
  <c r="O19" i="7"/>
  <c r="O15" i="7"/>
  <c r="O14" i="7"/>
  <c r="O13" i="7"/>
  <c r="O12" i="7"/>
  <c r="O11" i="7"/>
  <c r="O10" i="7"/>
  <c r="O9" i="7"/>
  <c r="O8" i="7"/>
  <c r="O6" i="7"/>
  <c r="O3" i="7"/>
  <c r="O138" i="7"/>
  <c r="O270" i="7"/>
  <c r="O265" i="7" s="1"/>
  <c r="O123" i="7"/>
  <c r="O116" i="7"/>
  <c r="M185" i="7"/>
  <c r="M77" i="7"/>
  <c r="M45" i="7" s="1"/>
  <c r="O89" i="7"/>
  <c r="O85" i="7"/>
  <c r="O164" i="7"/>
  <c r="O159" i="7" s="1"/>
  <c r="O215" i="7"/>
  <c r="O210" i="7"/>
  <c r="O342" i="7"/>
  <c r="O103" i="7"/>
  <c r="M166" i="7"/>
  <c r="O200" i="7"/>
  <c r="O358" i="7"/>
  <c r="O348" i="7" s="1"/>
  <c r="M183" i="7"/>
  <c r="M158" i="7" s="1"/>
  <c r="O219" i="7"/>
  <c r="M265" i="7"/>
  <c r="O275" i="7"/>
  <c r="O272" i="7" s="1"/>
  <c r="M210" i="7"/>
  <c r="O209" i="7"/>
  <c r="O202" i="7" s="1"/>
  <c r="O199" i="7"/>
  <c r="N185" i="7"/>
  <c r="O155" i="7"/>
  <c r="O147" i="7"/>
  <c r="M140" i="7"/>
  <c r="M133" i="7"/>
  <c r="O131" i="7"/>
  <c r="O127" i="7"/>
  <c r="M116" i="7"/>
  <c r="O95" i="7"/>
  <c r="O67" i="7"/>
  <c r="O52" i="7" s="1"/>
  <c r="Z311" i="7"/>
  <c r="Z310" i="7"/>
  <c r="L297" i="7"/>
  <c r="L67" i="7"/>
  <c r="L52" i="7" s="1"/>
  <c r="L50" i="7"/>
  <c r="L47" i="7" s="1"/>
  <c r="Q250" i="7"/>
  <c r="R270" i="7"/>
  <c r="Q270" i="7"/>
  <c r="P270" i="7"/>
  <c r="L270" i="7"/>
  <c r="F51" i="12"/>
  <c r="J16" i="7"/>
  <c r="J23" i="7"/>
  <c r="J18" i="7" s="1"/>
  <c r="J27" i="7"/>
  <c r="J25" i="7" s="1"/>
  <c r="J31" i="7"/>
  <c r="J29" i="7" s="1"/>
  <c r="J41" i="7"/>
  <c r="J33" i="7" s="1"/>
  <c r="J50" i="7"/>
  <c r="J47" i="7" s="1"/>
  <c r="J67" i="7"/>
  <c r="J52" i="7" s="1"/>
  <c r="J73" i="7"/>
  <c r="J69" i="7" s="1"/>
  <c r="J83" i="7"/>
  <c r="J79" i="7"/>
  <c r="J89" i="7"/>
  <c r="J85" i="7" s="1"/>
  <c r="J95" i="7"/>
  <c r="J91" i="7" s="1"/>
  <c r="J103" i="7"/>
  <c r="J97" i="7" s="1"/>
  <c r="K97" i="7" s="1"/>
  <c r="J114" i="7"/>
  <c r="J125" i="7" s="1"/>
  <c r="J109" i="7" s="1"/>
  <c r="J110" i="7"/>
  <c r="J123" i="7"/>
  <c r="J116" i="7" s="1"/>
  <c r="J131" i="7"/>
  <c r="J127" i="7" s="1"/>
  <c r="J138" i="7"/>
  <c r="J133" i="7" s="1"/>
  <c r="J145" i="7"/>
  <c r="J157" i="7" s="1"/>
  <c r="J126" i="7" s="1"/>
  <c r="J140" i="7"/>
  <c r="J155" i="7"/>
  <c r="J147" i="7" s="1"/>
  <c r="J164" i="7"/>
  <c r="J159" i="7" s="1"/>
  <c r="J181" i="7"/>
  <c r="J166" i="7" s="1"/>
  <c r="J190" i="7"/>
  <c r="J195" i="7" s="1"/>
  <c r="J184" i="7" s="1"/>
  <c r="J185" i="7"/>
  <c r="J196" i="7"/>
  <c r="J199" i="7"/>
  <c r="J209" i="7"/>
  <c r="J202" i="7" s="1"/>
  <c r="J215" i="7"/>
  <c r="J210" i="7" s="1"/>
  <c r="J233" i="7"/>
  <c r="J277" i="7" s="1"/>
  <c r="K277" i="7" s="1"/>
  <c r="J238" i="7"/>
  <c r="J235" i="7" s="1"/>
  <c r="J291" i="7"/>
  <c r="J282" i="7" s="1"/>
  <c r="J297" i="7"/>
  <c r="J315" i="7"/>
  <c r="J299" i="7" s="1"/>
  <c r="J321" i="7"/>
  <c r="J317" i="7"/>
  <c r="J334" i="7"/>
  <c r="J332" i="7"/>
  <c r="J358" i="7"/>
  <c r="J348" i="7" s="1"/>
  <c r="J185" i="9"/>
  <c r="J186" i="9"/>
  <c r="J187" i="9"/>
  <c r="J188" i="9"/>
  <c r="J293" i="7"/>
  <c r="J217" i="7"/>
  <c r="J200" i="7" s="1"/>
  <c r="J183" i="7"/>
  <c r="J158" i="7"/>
  <c r="J77" i="7"/>
  <c r="J45" i="7" s="1"/>
  <c r="J108" i="7"/>
  <c r="J78" i="7"/>
  <c r="K40" i="7"/>
  <c r="K207" i="7"/>
  <c r="R114" i="7"/>
  <c r="R110" i="7" s="1"/>
  <c r="Q114" i="7"/>
  <c r="Q110" i="7" s="1"/>
  <c r="P114" i="7"/>
  <c r="P110" i="7"/>
  <c r="G50" i="7"/>
  <c r="G67" i="7"/>
  <c r="G73" i="7"/>
  <c r="G209" i="7"/>
  <c r="G215" i="7"/>
  <c r="G196" i="7"/>
  <c r="G114" i="7"/>
  <c r="G123" i="7"/>
  <c r="G164" i="7"/>
  <c r="G181" i="7"/>
  <c r="G131" i="7"/>
  <c r="G155" i="7"/>
  <c r="G145" i="7"/>
  <c r="G138" i="7"/>
  <c r="G190" i="7"/>
  <c r="G195" i="7"/>
  <c r="G184" i="7" s="1"/>
  <c r="G238" i="7"/>
  <c r="G219" i="7" s="1"/>
  <c r="G233" i="7"/>
  <c r="G297" i="7"/>
  <c r="G315" i="7"/>
  <c r="G321" i="7"/>
  <c r="G332" i="7"/>
  <c r="G83" i="7"/>
  <c r="G79" i="7" s="1"/>
  <c r="G89" i="7"/>
  <c r="G85" i="7"/>
  <c r="G95" i="7"/>
  <c r="G91" i="7"/>
  <c r="G103" i="7"/>
  <c r="G16" i="7"/>
  <c r="G23" i="7"/>
  <c r="G43" i="7" s="1"/>
  <c r="G3" i="7" s="1"/>
  <c r="G31" i="7"/>
  <c r="G41" i="7"/>
  <c r="I50" i="7"/>
  <c r="I47" i="7" s="1"/>
  <c r="I67" i="7"/>
  <c r="I52" i="7" s="1"/>
  <c r="I73" i="7"/>
  <c r="I215" i="7"/>
  <c r="I209" i="7"/>
  <c r="I202" i="7"/>
  <c r="I196" i="7"/>
  <c r="K196" i="7" s="1"/>
  <c r="I114" i="7"/>
  <c r="I123" i="7"/>
  <c r="I116" i="7" s="1"/>
  <c r="K111" i="7"/>
  <c r="K106" i="7"/>
  <c r="K105" i="7"/>
  <c r="K80" i="7"/>
  <c r="K81" i="7"/>
  <c r="K82" i="7"/>
  <c r="K86" i="7"/>
  <c r="K87" i="7"/>
  <c r="K88" i="7"/>
  <c r="I95" i="7"/>
  <c r="I91" i="7" s="1"/>
  <c r="K91" i="7" s="1"/>
  <c r="I103" i="7"/>
  <c r="I97" i="7"/>
  <c r="I164" i="7"/>
  <c r="I159" i="7"/>
  <c r="I181" i="7"/>
  <c r="I166" i="7" s="1"/>
  <c r="I131" i="7"/>
  <c r="I127" i="7" s="1"/>
  <c r="I155" i="7"/>
  <c r="I147" i="7"/>
  <c r="I145" i="7"/>
  <c r="I140" i="7"/>
  <c r="I138" i="7"/>
  <c r="I133" i="7" s="1"/>
  <c r="K133" i="7" s="1"/>
  <c r="I190" i="7"/>
  <c r="I195" i="7" s="1"/>
  <c r="I184" i="7" s="1"/>
  <c r="K184" i="7" s="1"/>
  <c r="I297" i="7"/>
  <c r="I293" i="7"/>
  <c r="I291" i="7"/>
  <c r="I315" i="7"/>
  <c r="I321" i="7"/>
  <c r="I317" i="7" s="1"/>
  <c r="I233" i="7"/>
  <c r="I221" i="7" s="1"/>
  <c r="I238" i="7"/>
  <c r="K332" i="7"/>
  <c r="K6" i="7"/>
  <c r="K8" i="7"/>
  <c r="K9" i="7"/>
  <c r="K10" i="7"/>
  <c r="K11" i="7"/>
  <c r="K12" i="7"/>
  <c r="K13" i="7"/>
  <c r="K16" i="7" s="1"/>
  <c r="K5" i="7" s="1"/>
  <c r="K14" i="7"/>
  <c r="K15" i="7"/>
  <c r="K19" i="7"/>
  <c r="K20" i="7"/>
  <c r="K23" i="7" s="1"/>
  <c r="K18" i="7" s="1"/>
  <c r="K21" i="7"/>
  <c r="K22" i="7"/>
  <c r="K30" i="7"/>
  <c r="K31" i="7" s="1"/>
  <c r="K29" i="7" s="1"/>
  <c r="K34" i="7"/>
  <c r="K35" i="7"/>
  <c r="K36" i="7"/>
  <c r="K37" i="7"/>
  <c r="K38" i="7"/>
  <c r="K39" i="7"/>
  <c r="I23" i="7"/>
  <c r="I18" i="7" s="1"/>
  <c r="I27" i="7"/>
  <c r="I25" i="7" s="1"/>
  <c r="I31" i="7"/>
  <c r="I29" i="7" s="1"/>
  <c r="I41" i="7"/>
  <c r="I43" i="7" s="1"/>
  <c r="I3" i="7" s="1"/>
  <c r="I16" i="7"/>
  <c r="R181" i="7"/>
  <c r="R166" i="7" s="1"/>
  <c r="Q181" i="7"/>
  <c r="P181" i="7"/>
  <c r="P166" i="7" s="1"/>
  <c r="E14" i="12"/>
  <c r="E25" i="12"/>
  <c r="F25" i="12" s="1"/>
  <c r="F24" i="12" s="1"/>
  <c r="F5" i="12"/>
  <c r="C14" i="12"/>
  <c r="C15" i="12"/>
  <c r="F15" i="12"/>
  <c r="C16" i="12"/>
  <c r="F16" i="12" s="1"/>
  <c r="C17" i="12"/>
  <c r="F17" i="12" s="1"/>
  <c r="C18" i="12"/>
  <c r="F18" i="12"/>
  <c r="F19" i="12"/>
  <c r="F21" i="12"/>
  <c r="F22" i="12"/>
  <c r="F26" i="12"/>
  <c r="F27" i="12"/>
  <c r="C28" i="12"/>
  <c r="F28" i="12" s="1"/>
  <c r="C29" i="12"/>
  <c r="F29" i="12" s="1"/>
  <c r="F32" i="12"/>
  <c r="F33" i="12"/>
  <c r="F37" i="12"/>
  <c r="F38" i="12"/>
  <c r="F39" i="12"/>
  <c r="F40" i="12"/>
  <c r="F41" i="12"/>
  <c r="F43" i="12"/>
  <c r="F44" i="12"/>
  <c r="F45" i="12"/>
  <c r="F46" i="12"/>
  <c r="F47" i="12"/>
  <c r="F55" i="12"/>
  <c r="F56" i="12"/>
  <c r="F57" i="12"/>
  <c r="K313" i="7"/>
  <c r="H344" i="7"/>
  <c r="P328" i="7"/>
  <c r="P325" i="7" s="1"/>
  <c r="Q328" i="7"/>
  <c r="Q325" i="7" s="1"/>
  <c r="R328" i="7"/>
  <c r="R325" i="7" s="1"/>
  <c r="L328" i="7"/>
  <c r="L325" i="7" s="1"/>
  <c r="H282" i="7"/>
  <c r="H293" i="7"/>
  <c r="H299" i="7"/>
  <c r="H238" i="7"/>
  <c r="R358" i="7"/>
  <c r="R348" i="7"/>
  <c r="R339" i="7"/>
  <c r="R336" i="7"/>
  <c r="R334" i="7"/>
  <c r="R332" i="7" s="1"/>
  <c r="R321" i="7"/>
  <c r="R317" i="7" s="1"/>
  <c r="R297" i="7"/>
  <c r="R293" i="7"/>
  <c r="R291" i="7"/>
  <c r="R282" i="7" s="1"/>
  <c r="R275" i="7"/>
  <c r="R272" i="7" s="1"/>
  <c r="R265" i="7"/>
  <c r="R263" i="7"/>
  <c r="R259" i="7" s="1"/>
  <c r="R257" i="7"/>
  <c r="R252" i="7" s="1"/>
  <c r="R250" i="7"/>
  <c r="R242" i="7" s="1"/>
  <c r="R238" i="7"/>
  <c r="R235" i="7"/>
  <c r="R233" i="7"/>
  <c r="R221" i="7" s="1"/>
  <c r="R215" i="7"/>
  <c r="R210" i="7" s="1"/>
  <c r="R209" i="7"/>
  <c r="R202" i="7"/>
  <c r="R199" i="7"/>
  <c r="R196" i="7"/>
  <c r="R190" i="7"/>
  <c r="R185" i="7" s="1"/>
  <c r="R164" i="7"/>
  <c r="R159" i="7" s="1"/>
  <c r="R155" i="7"/>
  <c r="R147" i="7"/>
  <c r="R145" i="7"/>
  <c r="R140" i="7" s="1"/>
  <c r="R138" i="7"/>
  <c r="R133" i="7" s="1"/>
  <c r="R131" i="7"/>
  <c r="R127" i="7" s="1"/>
  <c r="R123" i="7"/>
  <c r="R116" i="7"/>
  <c r="R103" i="7"/>
  <c r="R97" i="7"/>
  <c r="R95" i="7"/>
  <c r="R91" i="7" s="1"/>
  <c r="R89" i="7"/>
  <c r="R85" i="7" s="1"/>
  <c r="R83" i="7"/>
  <c r="R79" i="7"/>
  <c r="R73" i="7"/>
  <c r="R69" i="7"/>
  <c r="R67" i="7"/>
  <c r="R52" i="7" s="1"/>
  <c r="R50" i="7"/>
  <c r="R47" i="7" s="1"/>
  <c r="R31" i="7"/>
  <c r="R27" i="7"/>
  <c r="R25" i="7" s="1"/>
  <c r="Q358" i="7"/>
  <c r="Q348" i="7"/>
  <c r="Q339" i="7"/>
  <c r="Q336" i="7" s="1"/>
  <c r="Q334" i="7"/>
  <c r="Q332" i="7"/>
  <c r="Q321" i="7"/>
  <c r="Q317" i="7" s="1"/>
  <c r="Q297" i="7"/>
  <c r="Q293" i="7"/>
  <c r="Q291" i="7"/>
  <c r="Q282" i="7" s="1"/>
  <c r="Q275" i="7"/>
  <c r="Q272" i="7"/>
  <c r="Q265" i="7"/>
  <c r="Q263" i="7"/>
  <c r="Q259" i="7" s="1"/>
  <c r="Q257" i="7"/>
  <c r="Q252" i="7" s="1"/>
  <c r="Q242" i="7"/>
  <c r="Q238" i="7"/>
  <c r="Q235" i="7"/>
  <c r="Q233" i="7"/>
  <c r="Q221" i="7" s="1"/>
  <c r="Q215" i="7"/>
  <c r="Q210" i="7"/>
  <c r="Q209" i="7"/>
  <c r="Q202" i="7"/>
  <c r="Q199" i="7"/>
  <c r="Q196" i="7"/>
  <c r="Q190" i="7"/>
  <c r="Q195" i="7" s="1"/>
  <c r="Q184" i="7" s="1"/>
  <c r="Q164" i="7"/>
  <c r="Q159" i="7" s="1"/>
  <c r="Q155" i="7"/>
  <c r="Q147" i="7" s="1"/>
  <c r="Q145" i="7"/>
  <c r="Q140" i="7"/>
  <c r="Q138" i="7"/>
  <c r="Q133" i="7" s="1"/>
  <c r="Q131" i="7"/>
  <c r="Q127" i="7" s="1"/>
  <c r="Q123" i="7"/>
  <c r="Q116" i="7" s="1"/>
  <c r="Q103" i="7"/>
  <c r="Q97" i="7"/>
  <c r="Q95" i="7"/>
  <c r="Q91" i="7" s="1"/>
  <c r="Q89" i="7"/>
  <c r="Q85" i="7" s="1"/>
  <c r="Q83" i="7"/>
  <c r="Q79" i="7" s="1"/>
  <c r="Q73" i="7"/>
  <c r="Q69" i="7"/>
  <c r="Q67" i="7"/>
  <c r="Q52" i="7" s="1"/>
  <c r="Q50" i="7"/>
  <c r="Q47" i="7" s="1"/>
  <c r="Q31" i="7"/>
  <c r="Q29" i="7"/>
  <c r="Q27" i="7"/>
  <c r="Q25" i="7" s="1"/>
  <c r="P358" i="7"/>
  <c r="P348" i="7" s="1"/>
  <c r="P339" i="7"/>
  <c r="P336" i="7"/>
  <c r="P334" i="7"/>
  <c r="P332" i="7"/>
  <c r="P321" i="7"/>
  <c r="P317" i="7"/>
  <c r="P297" i="7"/>
  <c r="P293" i="7" s="1"/>
  <c r="P291" i="7"/>
  <c r="P282" i="7" s="1"/>
  <c r="P275" i="7"/>
  <c r="P272" i="7" s="1"/>
  <c r="P265" i="7"/>
  <c r="P263" i="7"/>
  <c r="P259" i="7"/>
  <c r="P257" i="7"/>
  <c r="P252" i="7" s="1"/>
  <c r="P250" i="7"/>
  <c r="P242" i="7" s="1"/>
  <c r="P238" i="7"/>
  <c r="P235" i="7" s="1"/>
  <c r="P233" i="7"/>
  <c r="P221" i="7"/>
  <c r="P215" i="7"/>
  <c r="P209" i="7"/>
  <c r="P202" i="7"/>
  <c r="P199" i="7"/>
  <c r="P196" i="7"/>
  <c r="P190" i="7"/>
  <c r="P195" i="7"/>
  <c r="P184" i="7"/>
  <c r="P164" i="7"/>
  <c r="P159" i="7" s="1"/>
  <c r="P155" i="7"/>
  <c r="P147" i="7" s="1"/>
  <c r="P145" i="7"/>
  <c r="P140" i="7" s="1"/>
  <c r="P138" i="7"/>
  <c r="P133" i="7"/>
  <c r="P131" i="7"/>
  <c r="P127" i="7" s="1"/>
  <c r="P123" i="7"/>
  <c r="P116" i="7" s="1"/>
  <c r="P103" i="7"/>
  <c r="P97" i="7" s="1"/>
  <c r="P95" i="7"/>
  <c r="P91" i="7"/>
  <c r="P89" i="7"/>
  <c r="P85" i="7" s="1"/>
  <c r="P83" i="7"/>
  <c r="P79" i="7" s="1"/>
  <c r="P73" i="7"/>
  <c r="P69" i="7" s="1"/>
  <c r="P67" i="7"/>
  <c r="P52" i="7"/>
  <c r="P50" i="7"/>
  <c r="P47" i="7" s="1"/>
  <c r="P31" i="7"/>
  <c r="P29" i="7" s="1"/>
  <c r="P27" i="7"/>
  <c r="P25" i="7" s="1"/>
  <c r="L238" i="7"/>
  <c r="L235" i="7"/>
  <c r="L275" i="7"/>
  <c r="L272" i="7" s="1"/>
  <c r="L265" i="7"/>
  <c r="L263" i="7"/>
  <c r="L259" i="7" s="1"/>
  <c r="L257" i="7"/>
  <c r="L252" i="7" s="1"/>
  <c r="L250" i="7"/>
  <c r="L242" i="7" s="1"/>
  <c r="T244" i="7"/>
  <c r="U337" i="7" s="1"/>
  <c r="L339" i="7"/>
  <c r="L336" i="7" s="1"/>
  <c r="L334" i="7"/>
  <c r="L332" i="7"/>
  <c r="L293" i="7"/>
  <c r="L291" i="7"/>
  <c r="L233" i="7"/>
  <c r="L221" i="7" s="1"/>
  <c r="L114" i="7"/>
  <c r="L110" i="7" s="1"/>
  <c r="L103" i="7"/>
  <c r="L97" i="7"/>
  <c r="L95" i="7"/>
  <c r="L91" i="7" s="1"/>
  <c r="L89" i="7"/>
  <c r="L85" i="7" s="1"/>
  <c r="L83" i="7"/>
  <c r="L73" i="7"/>
  <c r="L69" i="7"/>
  <c r="L321" i="7"/>
  <c r="L317" i="7" s="1"/>
  <c r="L190" i="7"/>
  <c r="L185" i="7" s="1"/>
  <c r="L358" i="7"/>
  <c r="L348" i="7"/>
  <c r="L215" i="7"/>
  <c r="L210" i="7" s="1"/>
  <c r="L209" i="7"/>
  <c r="L202" i="7" s="1"/>
  <c r="L164" i="7"/>
  <c r="L159" i="7" s="1"/>
  <c r="L155" i="7"/>
  <c r="L147" i="7"/>
  <c r="L145" i="7"/>
  <c r="L140" i="7" s="1"/>
  <c r="L138" i="7"/>
  <c r="L133" i="7" s="1"/>
  <c r="L131" i="7"/>
  <c r="L127" i="7" s="1"/>
  <c r="L123" i="7"/>
  <c r="L116" i="7"/>
  <c r="L31" i="7"/>
  <c r="L29" i="7"/>
  <c r="K333" i="7"/>
  <c r="I334" i="7"/>
  <c r="K320" i="7"/>
  <c r="K319" i="7"/>
  <c r="K318" i="7"/>
  <c r="K284" i="7"/>
  <c r="K285" i="7"/>
  <c r="K286" i="7"/>
  <c r="K287" i="7"/>
  <c r="K288" i="7"/>
  <c r="K290" i="7"/>
  <c r="K294" i="7"/>
  <c r="K295" i="7"/>
  <c r="K296" i="7"/>
  <c r="K300" i="7"/>
  <c r="L300" i="7"/>
  <c r="P300" i="7" s="1"/>
  <c r="Q300" i="7" s="1"/>
  <c r="K301" i="7"/>
  <c r="L301" i="7"/>
  <c r="P301" i="7" s="1"/>
  <c r="Q301" i="7" s="1"/>
  <c r="R301" i="7" s="1"/>
  <c r="K302" i="7"/>
  <c r="L302" i="7"/>
  <c r="P302" i="7"/>
  <c r="Q302" i="7"/>
  <c r="R302" i="7" s="1"/>
  <c r="K303" i="7"/>
  <c r="K304" i="7"/>
  <c r="L304" i="7" s="1"/>
  <c r="P304" i="7" s="1"/>
  <c r="Q304" i="7" s="1"/>
  <c r="R304" i="7" s="1"/>
  <c r="K305" i="7"/>
  <c r="L305" i="7" s="1"/>
  <c r="P305" i="7" s="1"/>
  <c r="Q305" i="7" s="1"/>
  <c r="R305" i="7" s="1"/>
  <c r="K306" i="7"/>
  <c r="L306" i="7"/>
  <c r="P306" i="7" s="1"/>
  <c r="Q306" i="7" s="1"/>
  <c r="R306" i="7" s="1"/>
  <c r="K307" i="7"/>
  <c r="L307" i="7"/>
  <c r="P307" i="7" s="1"/>
  <c r="Q307" i="7" s="1"/>
  <c r="R307" i="7" s="1"/>
  <c r="K308" i="7"/>
  <c r="L308" i="7"/>
  <c r="P308" i="7" s="1"/>
  <c r="Q308" i="7" s="1"/>
  <c r="R308" i="7" s="1"/>
  <c r="K309" i="7"/>
  <c r="L309" i="7"/>
  <c r="P309" i="7"/>
  <c r="Q309" i="7"/>
  <c r="R309" i="7"/>
  <c r="K310" i="7"/>
  <c r="K314" i="7"/>
  <c r="K283" i="7"/>
  <c r="K224" i="7"/>
  <c r="K225" i="7"/>
  <c r="K226" i="7"/>
  <c r="K227" i="7"/>
  <c r="K228" i="7"/>
  <c r="K229" i="7"/>
  <c r="K230" i="7"/>
  <c r="K231" i="7"/>
  <c r="K232" i="7"/>
  <c r="K236" i="7"/>
  <c r="K237" i="7"/>
  <c r="K223" i="7"/>
  <c r="K222" i="7"/>
  <c r="K214" i="7"/>
  <c r="K213" i="7"/>
  <c r="K212" i="7"/>
  <c r="K211" i="7"/>
  <c r="K208" i="7"/>
  <c r="K206" i="7"/>
  <c r="K205" i="7"/>
  <c r="K204" i="7"/>
  <c r="K203" i="7"/>
  <c r="K198" i="7"/>
  <c r="K197" i="7"/>
  <c r="I199" i="7"/>
  <c r="K199" i="7" s="1"/>
  <c r="K193" i="7"/>
  <c r="K192" i="7"/>
  <c r="K189" i="7"/>
  <c r="K188" i="7"/>
  <c r="K187" i="7"/>
  <c r="K186" i="7"/>
  <c r="K161" i="7"/>
  <c r="K162" i="7"/>
  <c r="K163" i="7"/>
  <c r="K165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60" i="7"/>
  <c r="K129" i="7"/>
  <c r="K130" i="7"/>
  <c r="K134" i="7"/>
  <c r="K135" i="7"/>
  <c r="K136" i="7"/>
  <c r="K137" i="7"/>
  <c r="K141" i="7"/>
  <c r="K142" i="7"/>
  <c r="K143" i="7"/>
  <c r="K144" i="7"/>
  <c r="K148" i="7"/>
  <c r="K149" i="7"/>
  <c r="K150" i="7"/>
  <c r="K151" i="7"/>
  <c r="K152" i="7"/>
  <c r="K153" i="7"/>
  <c r="K154" i="7"/>
  <c r="K128" i="7"/>
  <c r="K112" i="7"/>
  <c r="K113" i="7"/>
  <c r="K115" i="7"/>
  <c r="K117" i="7"/>
  <c r="K118" i="7"/>
  <c r="K119" i="7"/>
  <c r="K120" i="7"/>
  <c r="K121" i="7"/>
  <c r="K122" i="7"/>
  <c r="K102" i="7"/>
  <c r="K101" i="7"/>
  <c r="K100" i="7"/>
  <c r="K99" i="7"/>
  <c r="K98" i="7"/>
  <c r="K94" i="7"/>
  <c r="K93" i="7"/>
  <c r="K92" i="7"/>
  <c r="I89" i="7"/>
  <c r="I85" i="7"/>
  <c r="I83" i="7"/>
  <c r="I79" i="7" s="1"/>
  <c r="I358" i="7"/>
  <c r="I348" i="7" s="1"/>
  <c r="K355" i="7"/>
  <c r="K358" i="7"/>
  <c r="K348" i="7" s="1"/>
  <c r="I69" i="7"/>
  <c r="K344" i="7"/>
  <c r="K75" i="7"/>
  <c r="K71" i="7"/>
  <c r="K70" i="7"/>
  <c r="K72" i="7"/>
  <c r="K66" i="7"/>
  <c r="K64" i="7"/>
  <c r="K63" i="7"/>
  <c r="K62" i="7"/>
  <c r="K61" i="7"/>
  <c r="K60" i="7"/>
  <c r="K59" i="7"/>
  <c r="K58" i="7"/>
  <c r="K57" i="7"/>
  <c r="K56" i="7"/>
  <c r="K55" i="7"/>
  <c r="K54" i="7"/>
  <c r="K53" i="7"/>
  <c r="K49" i="7"/>
  <c r="K48" i="7"/>
  <c r="L41" i="7"/>
  <c r="L33" i="7" s="1"/>
  <c r="P41" i="7"/>
  <c r="P33" i="7" s="1"/>
  <c r="L23" i="7"/>
  <c r="L18" i="7" s="1"/>
  <c r="Q41" i="7"/>
  <c r="Q33" i="7" s="1"/>
  <c r="R23" i="7"/>
  <c r="R18" i="7" s="1"/>
  <c r="Q23" i="7"/>
  <c r="Q18" i="7" s="1"/>
  <c r="R41" i="7"/>
  <c r="R33" i="7" s="1"/>
  <c r="H181" i="7"/>
  <c r="H166" i="7" s="1"/>
  <c r="H358" i="7"/>
  <c r="H348" i="7"/>
  <c r="H334" i="7"/>
  <c r="H332" i="7"/>
  <c r="H321" i="7"/>
  <c r="H330" i="7"/>
  <c r="H279" i="7" s="1"/>
  <c r="H218" i="7" s="1"/>
  <c r="H233" i="7"/>
  <c r="H221" i="7"/>
  <c r="H215" i="7"/>
  <c r="H210" i="7" s="1"/>
  <c r="H209" i="7"/>
  <c r="H199" i="7"/>
  <c r="H196" i="7"/>
  <c r="H190" i="7"/>
  <c r="H185" i="7" s="1"/>
  <c r="H164" i="7"/>
  <c r="H159" i="7"/>
  <c r="H155" i="7"/>
  <c r="H147" i="7"/>
  <c r="H145" i="7"/>
  <c r="H140" i="7"/>
  <c r="H138" i="7"/>
  <c r="H133" i="7" s="1"/>
  <c r="H131" i="7"/>
  <c r="H127" i="7"/>
  <c r="H123" i="7"/>
  <c r="H116" i="7"/>
  <c r="H114" i="7"/>
  <c r="H110" i="7"/>
  <c r="H103" i="7"/>
  <c r="H97" i="7" s="1"/>
  <c r="H95" i="7"/>
  <c r="H91" i="7"/>
  <c r="H89" i="7"/>
  <c r="H85" i="7"/>
  <c r="H83" i="7"/>
  <c r="H79" i="7"/>
  <c r="H73" i="7"/>
  <c r="H69" i="7" s="1"/>
  <c r="H67" i="7"/>
  <c r="H52" i="7"/>
  <c r="H50" i="7"/>
  <c r="H47" i="7" s="1"/>
  <c r="H41" i="7"/>
  <c r="H33" i="7" s="1"/>
  <c r="H31" i="7"/>
  <c r="H29" i="7" s="1"/>
  <c r="H27" i="7"/>
  <c r="H25" i="7" s="1"/>
  <c r="H23" i="7"/>
  <c r="H18" i="7" s="1"/>
  <c r="H16" i="7"/>
  <c r="C28" i="8"/>
  <c r="C5" i="8" s="1"/>
  <c r="D18" i="8"/>
  <c r="C15" i="8"/>
  <c r="C14" i="8"/>
  <c r="J2" i="8"/>
  <c r="C13" i="8" s="1"/>
  <c r="C4" i="8"/>
  <c r="C8" i="8" s="1"/>
  <c r="M6" i="8"/>
  <c r="J6" i="8"/>
  <c r="C18" i="8" s="1"/>
  <c r="I329" i="9"/>
  <c r="I319" i="9" s="1"/>
  <c r="H329" i="9"/>
  <c r="H319" i="9" s="1"/>
  <c r="G329" i="9"/>
  <c r="G319" i="9" s="1"/>
  <c r="I309" i="9"/>
  <c r="H309" i="9"/>
  <c r="I307" i="9"/>
  <c r="H307" i="9"/>
  <c r="I304" i="9"/>
  <c r="I265" i="9" s="1"/>
  <c r="H302" i="9"/>
  <c r="G302" i="9"/>
  <c r="H296" i="9"/>
  <c r="G296" i="9"/>
  <c r="H281" i="9"/>
  <c r="G281" i="9"/>
  <c r="H275" i="9"/>
  <c r="G275" i="9"/>
  <c r="G304" i="9" s="1"/>
  <c r="I261" i="9"/>
  <c r="H261" i="9"/>
  <c r="I256" i="9"/>
  <c r="H256" i="9"/>
  <c r="G256" i="9"/>
  <c r="G242" i="9"/>
  <c r="G241" i="9" s="1"/>
  <c r="I237" i="9"/>
  <c r="H237" i="9"/>
  <c r="G237" i="9"/>
  <c r="I230" i="9"/>
  <c r="I239" i="9" s="1"/>
  <c r="I222" i="9" s="1"/>
  <c r="H230" i="9"/>
  <c r="G230" i="9"/>
  <c r="I220" i="9"/>
  <c r="H220" i="9"/>
  <c r="G220" i="9"/>
  <c r="G217" i="9" s="1"/>
  <c r="I217" i="9"/>
  <c r="H217" i="9"/>
  <c r="I210" i="9"/>
  <c r="I215" i="9" s="1"/>
  <c r="I204" i="9" s="1"/>
  <c r="H210" i="9"/>
  <c r="H215" i="9"/>
  <c r="H204" i="9" s="1"/>
  <c r="G210" i="9"/>
  <c r="G215" i="9" s="1"/>
  <c r="G204" i="9" s="1"/>
  <c r="I200" i="9"/>
  <c r="G200" i="9"/>
  <c r="L188" i="9"/>
  <c r="M188" i="9"/>
  <c r="N188" i="9" s="1"/>
  <c r="L187" i="9"/>
  <c r="M187" i="9" s="1"/>
  <c r="N187" i="9" s="1"/>
  <c r="L186" i="9"/>
  <c r="M186" i="9" s="1"/>
  <c r="N186" i="9" s="1"/>
  <c r="L185" i="9"/>
  <c r="M185" i="9" s="1"/>
  <c r="N185" i="9" s="1"/>
  <c r="I179" i="9"/>
  <c r="H179" i="9"/>
  <c r="H202" i="9"/>
  <c r="H173" i="9" s="1"/>
  <c r="G179" i="9"/>
  <c r="I169" i="9"/>
  <c r="H169" i="9"/>
  <c r="G169" i="9"/>
  <c r="I157" i="9"/>
  <c r="H156" i="9"/>
  <c r="G154" i="9"/>
  <c r="G155" i="9" s="1"/>
  <c r="G156" i="9" s="1"/>
  <c r="H154" i="9"/>
  <c r="I150" i="9"/>
  <c r="H148" i="9"/>
  <c r="H150" i="9" s="1"/>
  <c r="G150" i="9"/>
  <c r="I142" i="9"/>
  <c r="H142" i="9"/>
  <c r="G142" i="9"/>
  <c r="I133" i="9"/>
  <c r="H133" i="9"/>
  <c r="H120" i="9"/>
  <c r="H135" i="9" s="1"/>
  <c r="H115" i="9" s="1"/>
  <c r="G133" i="9"/>
  <c r="I120" i="9"/>
  <c r="I135" i="9" s="1"/>
  <c r="I115" i="9" s="1"/>
  <c r="G120" i="9"/>
  <c r="G135" i="9" s="1"/>
  <c r="G115" i="9" s="1"/>
  <c r="I108" i="9"/>
  <c r="I102" i="9"/>
  <c r="H108" i="9"/>
  <c r="G108" i="9"/>
  <c r="G102" i="9"/>
  <c r="I100" i="9"/>
  <c r="I96" i="9" s="1"/>
  <c r="H100" i="9"/>
  <c r="H96" i="9" s="1"/>
  <c r="G100" i="9"/>
  <c r="G96" i="9" s="1"/>
  <c r="I94" i="9"/>
  <c r="I90" i="9" s="1"/>
  <c r="H94" i="9"/>
  <c r="G94" i="9"/>
  <c r="G90" i="9" s="1"/>
  <c r="I88" i="9"/>
  <c r="I84" i="9"/>
  <c r="H88" i="9"/>
  <c r="G88" i="9"/>
  <c r="G84" i="9" s="1"/>
  <c r="I77" i="9"/>
  <c r="H77" i="9"/>
  <c r="I70" i="9"/>
  <c r="H70" i="9"/>
  <c r="G70" i="9"/>
  <c r="G46" i="9" s="1"/>
  <c r="I51" i="9"/>
  <c r="H51" i="9"/>
  <c r="H81" i="9" s="1"/>
  <c r="H46" i="9" s="1"/>
  <c r="G51" i="9"/>
  <c r="I41" i="9"/>
  <c r="H41" i="9"/>
  <c r="G31" i="9"/>
  <c r="G4" i="9"/>
  <c r="I27" i="9"/>
  <c r="H27" i="9"/>
  <c r="I23" i="9"/>
  <c r="H23" i="9"/>
  <c r="I16" i="9"/>
  <c r="H16" i="9"/>
  <c r="H43" i="9" s="1"/>
  <c r="H4" i="9" s="1"/>
  <c r="G358" i="7"/>
  <c r="G348" i="7" s="1"/>
  <c r="G334" i="7"/>
  <c r="G199" i="7"/>
  <c r="G27" i="7"/>
  <c r="I43" i="9"/>
  <c r="I4" i="9" s="1"/>
  <c r="H84" i="9"/>
  <c r="F310" i="7"/>
  <c r="F300" i="7"/>
  <c r="F314" i="7"/>
  <c r="F297" i="7"/>
  <c r="F226" i="7"/>
  <c r="F233" i="7"/>
  <c r="F50" i="7"/>
  <c r="F67" i="7"/>
  <c r="F31" i="7"/>
  <c r="F27" i="7"/>
  <c r="F215" i="7"/>
  <c r="F334" i="7"/>
  <c r="F332" i="7" s="1"/>
  <c r="F301" i="7"/>
  <c r="F315" i="7" s="1"/>
  <c r="F291" i="7"/>
  <c r="F103" i="7"/>
  <c r="F97" i="7" s="1"/>
  <c r="F95" i="7"/>
  <c r="F91" i="7" s="1"/>
  <c r="F83" i="7"/>
  <c r="F79" i="7" s="1"/>
  <c r="F89" i="7"/>
  <c r="F85" i="7" s="1"/>
  <c r="F358" i="7"/>
  <c r="F348" i="7" s="1"/>
  <c r="F131" i="7"/>
  <c r="F137" i="7"/>
  <c r="F138" i="7"/>
  <c r="F145" i="7"/>
  <c r="F155" i="7"/>
  <c r="F238" i="7"/>
  <c r="F196" i="7"/>
  <c r="F199" i="7"/>
  <c r="F209" i="7"/>
  <c r="F190" i="7"/>
  <c r="F195" i="7"/>
  <c r="F184" i="7" s="1"/>
  <c r="F164" i="7"/>
  <c r="F183" i="7" s="1"/>
  <c r="F181" i="7"/>
  <c r="F23" i="7"/>
  <c r="F72" i="7"/>
  <c r="F73" i="7"/>
  <c r="F321" i="7"/>
  <c r="F123" i="7"/>
  <c r="F125" i="7" s="1"/>
  <c r="F109" i="7" s="1"/>
  <c r="F114" i="7"/>
  <c r="F41" i="7"/>
  <c r="F16" i="7"/>
  <c r="H90" i="9"/>
  <c r="L108" i="7"/>
  <c r="L78" i="7"/>
  <c r="I263" i="9"/>
  <c r="H304" i="9"/>
  <c r="H265" i="9" s="1"/>
  <c r="K190" i="7"/>
  <c r="K185" i="7" s="1"/>
  <c r="K155" i="7"/>
  <c r="K147" i="7" s="1"/>
  <c r="L282" i="7"/>
  <c r="F14" i="12"/>
  <c r="F50" i="12"/>
  <c r="Q185" i="7"/>
  <c r="H242" i="9"/>
  <c r="H241" i="9" s="1"/>
  <c r="G171" i="9"/>
  <c r="G137" i="9" s="1"/>
  <c r="I171" i="9"/>
  <c r="I137" i="9" s="1"/>
  <c r="I202" i="9"/>
  <c r="I173" i="9" s="1"/>
  <c r="G202" i="9"/>
  <c r="G173" i="9" s="1"/>
  <c r="H239" i="9"/>
  <c r="H222" i="9" s="1"/>
  <c r="I242" i="9"/>
  <c r="I241" i="9" s="1"/>
  <c r="K215" i="7"/>
  <c r="K210" i="7" s="1"/>
  <c r="R195" i="7"/>
  <c r="R184" i="7" s="1"/>
  <c r="P185" i="7"/>
  <c r="Q125" i="7"/>
  <c r="Q109" i="7"/>
  <c r="I125" i="7"/>
  <c r="I109" i="7"/>
  <c r="R217" i="7"/>
  <c r="R200" i="7" s="1"/>
  <c r="I185" i="7"/>
  <c r="F158" i="7"/>
  <c r="K164" i="7"/>
  <c r="K159" i="7"/>
  <c r="I110" i="7"/>
  <c r="K73" i="7"/>
  <c r="K69" i="7" s="1"/>
  <c r="K103" i="7"/>
  <c r="K67" i="7"/>
  <c r="K52" i="7" s="1"/>
  <c r="I113" i="9"/>
  <c r="I83" i="9" s="1"/>
  <c r="H263" i="9"/>
  <c r="K334" i="7"/>
  <c r="G2" i="8"/>
  <c r="C12" i="8" s="1"/>
  <c r="P125" i="7"/>
  <c r="P109" i="7"/>
  <c r="G183" i="7"/>
  <c r="G158" i="7"/>
  <c r="R125" i="7"/>
  <c r="R109" i="7" s="1"/>
  <c r="I277" i="7"/>
  <c r="G125" i="7"/>
  <c r="G109" i="7" s="1"/>
  <c r="K291" i="7"/>
  <c r="K282" i="7" s="1"/>
  <c r="H277" i="7"/>
  <c r="K297" i="7"/>
  <c r="K293" i="7"/>
  <c r="H317" i="7"/>
  <c r="K321" i="7"/>
  <c r="K317" i="7" s="1"/>
  <c r="G330" i="7"/>
  <c r="G279" i="7" s="1"/>
  <c r="I282" i="7"/>
  <c r="H323" i="7"/>
  <c r="H281" i="7" s="1"/>
  <c r="K315" i="7"/>
  <c r="K299" i="7"/>
  <c r="H219" i="7"/>
  <c r="K238" i="7"/>
  <c r="K235" i="7" s="1"/>
  <c r="I235" i="7"/>
  <c r="H235" i="7"/>
  <c r="F219" i="7"/>
  <c r="H217" i="7"/>
  <c r="H200" i="7" s="1"/>
  <c r="H202" i="7"/>
  <c r="H183" i="7"/>
  <c r="H158" i="7" s="1"/>
  <c r="P183" i="7"/>
  <c r="P158" i="7"/>
  <c r="Q157" i="7"/>
  <c r="Q126" i="7"/>
  <c r="F217" i="7"/>
  <c r="F200" i="7"/>
  <c r="Q217" i="7"/>
  <c r="Q200" i="7" s="1"/>
  <c r="Q277" i="7"/>
  <c r="Q219" i="7"/>
  <c r="I299" i="7"/>
  <c r="I330" i="7"/>
  <c r="I279" i="7" s="1"/>
  <c r="K233" i="7"/>
  <c r="K221" i="7" s="1"/>
  <c r="I219" i="7"/>
  <c r="P277" i="7"/>
  <c r="P240" i="7"/>
  <c r="R277" i="7"/>
  <c r="R219" i="7" s="1"/>
  <c r="F36" i="12"/>
  <c r="L157" i="7"/>
  <c r="L126" i="7"/>
  <c r="F157" i="7"/>
  <c r="F126" i="7" s="1"/>
  <c r="K131" i="7"/>
  <c r="K127" i="7" s="1"/>
  <c r="R157" i="7"/>
  <c r="R126" i="7" s="1"/>
  <c r="I157" i="7"/>
  <c r="I126" i="7"/>
  <c r="K138" i="7"/>
  <c r="P217" i="7"/>
  <c r="P200" i="7"/>
  <c r="K209" i="7"/>
  <c r="K202" i="7" s="1"/>
  <c r="G217" i="7"/>
  <c r="G200" i="7"/>
  <c r="I183" i="7"/>
  <c r="I158" i="7" s="1"/>
  <c r="K83" i="7"/>
  <c r="K79" i="7"/>
  <c r="K89" i="7"/>
  <c r="K85" i="7" s="1"/>
  <c r="Q108" i="7"/>
  <c r="Q78" i="7"/>
  <c r="F108" i="7"/>
  <c r="F78" i="7" s="1"/>
  <c r="K95" i="7"/>
  <c r="G108" i="7"/>
  <c r="G78" i="7"/>
  <c r="K50" i="7"/>
  <c r="K47" i="7" s="1"/>
  <c r="H157" i="7"/>
  <c r="H126" i="7" s="1"/>
  <c r="H195" i="7"/>
  <c r="H184" i="7" s="1"/>
  <c r="I217" i="7"/>
  <c r="I200" i="7"/>
  <c r="K200" i="7" s="1"/>
  <c r="G157" i="7"/>
  <c r="G126" i="7" s="1"/>
  <c r="L125" i="7"/>
  <c r="L109" i="7" s="1"/>
  <c r="K181" i="7"/>
  <c r="K166" i="7"/>
  <c r="K123" i="7"/>
  <c r="K116" i="7" s="1"/>
  <c r="R300" i="7"/>
  <c r="R315" i="7" s="1"/>
  <c r="K195" i="7"/>
  <c r="H125" i="7"/>
  <c r="H109" i="7" s="1"/>
  <c r="K114" i="7"/>
  <c r="K110" i="7"/>
  <c r="K145" i="7"/>
  <c r="K140" i="7"/>
  <c r="I210" i="7"/>
  <c r="L195" i="7"/>
  <c r="L184" i="7" s="1"/>
  <c r="P157" i="7"/>
  <c r="P126" i="7"/>
  <c r="F277" i="7"/>
  <c r="L217" i="7"/>
  <c r="L200" i="7"/>
  <c r="P210" i="7"/>
  <c r="H108" i="7"/>
  <c r="H78" i="7"/>
  <c r="I108" i="7"/>
  <c r="I78" i="7" s="1"/>
  <c r="L79" i="7"/>
  <c r="P108" i="7"/>
  <c r="P78" i="7"/>
  <c r="G97" i="7"/>
  <c r="R108" i="7"/>
  <c r="R78" i="7"/>
  <c r="L16" i="7"/>
  <c r="Q16" i="7"/>
  <c r="Q5" i="7" s="1"/>
  <c r="Q166" i="7"/>
  <c r="Q183" i="7"/>
  <c r="Q158" i="7"/>
  <c r="F43" i="7"/>
  <c r="F3" i="7" s="1"/>
  <c r="H5" i="7"/>
  <c r="R183" i="7"/>
  <c r="R158" i="7" s="1"/>
  <c r="P77" i="7"/>
  <c r="P45" i="7" s="1"/>
  <c r="K108" i="7"/>
  <c r="K78" i="7"/>
  <c r="K125" i="7"/>
  <c r="K109" i="7"/>
  <c r="I323" i="7"/>
  <c r="I281" i="7" s="1"/>
  <c r="K323" i="7"/>
  <c r="K281" i="7" s="1"/>
  <c r="P219" i="7"/>
  <c r="Q240" i="7"/>
  <c r="K183" i="7"/>
  <c r="K158" i="7" s="1"/>
  <c r="K157" i="7"/>
  <c r="K126" i="7"/>
  <c r="K217" i="7"/>
  <c r="P16" i="7"/>
  <c r="R16" i="7"/>
  <c r="R5" i="7" s="1"/>
  <c r="L5" i="7"/>
  <c r="P5" i="7"/>
  <c r="O257" i="7"/>
  <c r="O252" i="7" s="1"/>
  <c r="M252" i="7"/>
  <c r="O262" i="7"/>
  <c r="O261" i="7"/>
  <c r="O260" i="7"/>
  <c r="M263" i="7"/>
  <c r="O263" i="7"/>
  <c r="O259" i="7" s="1"/>
  <c r="P23" i="7"/>
  <c r="R77" i="7" l="1"/>
  <c r="R45" i="7" s="1"/>
  <c r="F77" i="7"/>
  <c r="F45" i="7" s="1"/>
  <c r="G77" i="7"/>
  <c r="G45" i="7" s="1"/>
  <c r="I77" i="7"/>
  <c r="I45" i="7" s="1"/>
  <c r="N77" i="7"/>
  <c r="H77" i="7"/>
  <c r="H45" i="7" s="1"/>
  <c r="H340" i="7" s="1"/>
  <c r="Q77" i="7"/>
  <c r="Q45" i="7" s="1"/>
  <c r="L77" i="7"/>
  <c r="L45" i="7" s="1"/>
  <c r="O50" i="7"/>
  <c r="O47" i="7" s="1"/>
  <c r="K77" i="7"/>
  <c r="K45" i="7" s="1"/>
  <c r="F330" i="7"/>
  <c r="F279" i="7" s="1"/>
  <c r="J323" i="7"/>
  <c r="J281" i="7" s="1"/>
  <c r="G218" i="7"/>
  <c r="O41" i="7"/>
  <c r="O33" i="7" s="1"/>
  <c r="G340" i="7"/>
  <c r="G342" i="7" s="1"/>
  <c r="G346" i="7" s="1"/>
  <c r="G360" i="7" s="1"/>
  <c r="G362" i="7" s="1"/>
  <c r="G277" i="7"/>
  <c r="M277" i="7"/>
  <c r="M240" i="7" s="1"/>
  <c r="O250" i="7"/>
  <c r="O242" i="7" s="1"/>
  <c r="L277" i="7"/>
  <c r="N277" i="7"/>
  <c r="N240" i="7" s="1"/>
  <c r="M259" i="7"/>
  <c r="R240" i="7"/>
  <c r="F218" i="7"/>
  <c r="I33" i="7"/>
  <c r="K41" i="7"/>
  <c r="K33" i="7" s="1"/>
  <c r="O16" i="7"/>
  <c r="O5" i="7" s="1"/>
  <c r="Q43" i="7"/>
  <c r="Q3" i="7" s="1"/>
  <c r="P43" i="7"/>
  <c r="P3" i="7" s="1"/>
  <c r="H43" i="7"/>
  <c r="H3" i="7" s="1"/>
  <c r="J43" i="7"/>
  <c r="J3" i="7" s="1"/>
  <c r="O23" i="7"/>
  <c r="O18" i="7" s="1"/>
  <c r="R330" i="7"/>
  <c r="R279" i="7" s="1"/>
  <c r="R218" i="7" s="1"/>
  <c r="R299" i="7"/>
  <c r="R323" i="7"/>
  <c r="R281" i="7" s="1"/>
  <c r="H102" i="9"/>
  <c r="H113" i="9"/>
  <c r="H83" i="9" s="1"/>
  <c r="O108" i="7"/>
  <c r="O78" i="7" s="1"/>
  <c r="O79" i="7"/>
  <c r="O77" i="7"/>
  <c r="O45" i="7" s="1"/>
  <c r="N45" i="7"/>
  <c r="L183" i="7"/>
  <c r="L158" i="7" s="1"/>
  <c r="F13" i="12"/>
  <c r="F11" i="12" s="1"/>
  <c r="F59" i="12" s="1"/>
  <c r="R43" i="7"/>
  <c r="R3" i="7" s="1"/>
  <c r="H171" i="9"/>
  <c r="H137" i="9" s="1"/>
  <c r="G239" i="9"/>
  <c r="G222" i="9" s="1"/>
  <c r="M360" i="7"/>
  <c r="O360" i="7" s="1"/>
  <c r="O346" i="7"/>
  <c r="L26" i="7"/>
  <c r="L27" i="7" s="1"/>
  <c r="L25" i="7" s="1"/>
  <c r="K26" i="7"/>
  <c r="K27" i="7" s="1"/>
  <c r="K25" i="7" s="1"/>
  <c r="Q315" i="7"/>
  <c r="I218" i="7"/>
  <c r="I340" i="7" s="1"/>
  <c r="I342" i="7" s="1"/>
  <c r="I346" i="7" s="1"/>
  <c r="I360" i="7" s="1"/>
  <c r="L315" i="7"/>
  <c r="M109" i="7"/>
  <c r="H313" i="9"/>
  <c r="H317" i="9" s="1"/>
  <c r="H331" i="9" s="1"/>
  <c r="P18" i="7"/>
  <c r="I313" i="9"/>
  <c r="I317" i="9" s="1"/>
  <c r="I331" i="9" s="1"/>
  <c r="H311" i="9"/>
  <c r="P315" i="7"/>
  <c r="C22" i="8"/>
  <c r="C24" i="8" s="1"/>
  <c r="I81" i="9"/>
  <c r="I46" i="9" s="1"/>
  <c r="I311" i="9" s="1"/>
  <c r="O195" i="7"/>
  <c r="M184" i="7"/>
  <c r="O184" i="7" s="1"/>
  <c r="N125" i="7"/>
  <c r="N109" i="7" s="1"/>
  <c r="J330" i="7"/>
  <c r="O279" i="7"/>
  <c r="M97" i="7"/>
  <c r="O97" i="7" s="1"/>
  <c r="N183" i="7"/>
  <c r="C19" i="20"/>
  <c r="C24" i="20" s="1"/>
  <c r="O145" i="7"/>
  <c r="O140" i="7" s="1"/>
  <c r="J221" i="7"/>
  <c r="G113" i="9"/>
  <c r="G83" i="9" s="1"/>
  <c r="G311" i="9" s="1"/>
  <c r="G313" i="9" s="1"/>
  <c r="G317" i="9" s="1"/>
  <c r="G331" i="9" s="1"/>
  <c r="J219" i="7"/>
  <c r="K219" i="7" s="1"/>
  <c r="D20" i="20"/>
  <c r="F340" i="7" l="1"/>
  <c r="F342" i="7" s="1"/>
  <c r="F346" i="7" s="1"/>
  <c r="F360" i="7" s="1"/>
  <c r="F362" i="7" s="1"/>
  <c r="R340" i="7"/>
  <c r="R342" i="7" s="1"/>
  <c r="R346" i="7" s="1"/>
  <c r="R360" i="7" s="1"/>
  <c r="O277" i="7"/>
  <c r="O240" i="7" s="1"/>
  <c r="L219" i="7"/>
  <c r="L240" i="7"/>
  <c r="H342" i="7"/>
  <c r="H346" i="7" s="1"/>
  <c r="H360" i="7" s="1"/>
  <c r="L197" i="7"/>
  <c r="C27" i="20"/>
  <c r="T6" i="20" s="1"/>
  <c r="V6" i="20" s="1"/>
  <c r="N158" i="7"/>
  <c r="O183" i="7"/>
  <c r="O158" i="7" s="1"/>
  <c r="I362" i="7"/>
  <c r="O125" i="7"/>
  <c r="O109" i="7" s="1"/>
  <c r="P323" i="7"/>
  <c r="P281" i="7" s="1"/>
  <c r="P330" i="7"/>
  <c r="P279" i="7" s="1"/>
  <c r="P218" i="7" s="1"/>
  <c r="P340" i="7" s="1"/>
  <c r="P342" i="7" s="1"/>
  <c r="P346" i="7" s="1"/>
  <c r="P360" i="7" s="1"/>
  <c r="P299" i="7"/>
  <c r="L330" i="7"/>
  <c r="L279" i="7" s="1"/>
  <c r="L218" i="7" s="1"/>
  <c r="L323" i="7"/>
  <c r="L281" i="7" s="1"/>
  <c r="L299" i="7"/>
  <c r="C31" i="8"/>
  <c r="C30" i="8"/>
  <c r="J279" i="7"/>
  <c r="K279" i="7" s="1"/>
  <c r="K330" i="7"/>
  <c r="K43" i="7"/>
  <c r="K3" i="7" s="1"/>
  <c r="Q323" i="7"/>
  <c r="Q281" i="7" s="1"/>
  <c r="Q299" i="7"/>
  <c r="Q330" i="7"/>
  <c r="Q279" i="7" s="1"/>
  <c r="Q218" i="7" s="1"/>
  <c r="Q340" i="7" s="1"/>
  <c r="Q342" i="7" s="1"/>
  <c r="Q346" i="7" s="1"/>
  <c r="Q360" i="7" s="1"/>
  <c r="L43" i="7"/>
  <c r="L3" i="7" s="1"/>
  <c r="J218" i="7" l="1"/>
  <c r="L196" i="7"/>
  <c r="L340" i="7" s="1"/>
  <c r="L342" i="7" s="1"/>
  <c r="L346" i="7" s="1"/>
  <c r="L360" i="7" s="1"/>
  <c r="L362" i="7" s="1"/>
  <c r="P362" i="7" s="1"/>
  <c r="Q362" i="7" s="1"/>
  <c r="R362" i="7" s="1"/>
  <c r="L199" i="7"/>
  <c r="J340" i="7" l="1"/>
  <c r="J342" i="7" s="1"/>
  <c r="J346" i="7" s="1"/>
  <c r="J360" i="7" s="1"/>
  <c r="K218" i="7"/>
  <c r="K340" i="7" s="1"/>
  <c r="K342" i="7" s="1"/>
  <c r="K346" i="7" s="1"/>
  <c r="K360" i="7" s="1"/>
  <c r="K36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Q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Halvvejsopgørelse i projekter; kan have indflydelse på økonomi
</t>
        </r>
      </text>
    </comment>
    <comment ref="R3" authorId="0" shapeId="0" xr:uid="{596A6D37-F8BD-4329-8A56-1E269B6079A0}">
      <text>
        <r>
          <rPr>
            <sz val="9"/>
            <color indexed="81"/>
            <rFont val="Tahoma"/>
            <family val="2"/>
          </rPr>
          <t xml:space="preserve">2021 
- ej TD tilsagn endnu
</t>
        </r>
      </text>
    </comment>
    <comment ref="L6" authorId="0" shapeId="0" xr:uid="{A36A5C9E-3486-42D4-A449-7C99DA5BB1B3}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P6" authorId="0" shapeId="0" xr:uid="{539AD36D-B7A6-404C-BDF1-F2A2C80421E6}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Q6" authorId="0" shapeId="0" xr:uid="{55791282-B2B2-4524-B1A5-26797C4488AF}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R6" authorId="0" shapeId="0" xr:uid="{5DBB7FF8-E5CB-4753-876A-0196D9879A28}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P12" authorId="0" shapeId="0" xr:uid="{28CABFC6-1C9A-445B-BC18-D8B7A28D208F}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Q12" authorId="0" shapeId="0" xr:uid="{6234C60C-4775-4177-B57B-ABB61C66FB28}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R12" authorId="0" shapeId="0" xr:uid="{17244626-D591-4718-AF1F-CC61C1B0CD59}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H1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Leipzig Tyskland
</t>
        </r>
      </text>
    </comment>
    <comment ref="L19" authorId="0" shapeId="0" xr:uid="{C5136346-5185-4CE7-8E12-0D1EE264CA01}">
      <text>
        <r>
          <rPr>
            <sz val="9"/>
            <color indexed="81"/>
            <rFont val="Tahoma"/>
            <family val="2"/>
          </rPr>
          <t>VM Kina
Hotel + individuel startgebyr</t>
        </r>
      </text>
    </comment>
    <comment ref="H2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Tbilisi - Georgien
</t>
        </r>
      </text>
    </comment>
    <comment ref="L20" authorId="0" shapeId="0" xr:uid="{F3E95E43-A049-4A8F-9B3F-FA0C7EB0A83B}">
      <text>
        <r>
          <rPr>
            <sz val="9"/>
            <color indexed="81"/>
            <rFont val="Tahoma"/>
            <family val="2"/>
          </rPr>
          <t xml:space="preserve">EM Serbien/Novi Sad
Hotel + individuel startgebyr
</t>
        </r>
      </text>
    </comment>
    <comment ref="H2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L21" authorId="0" shapeId="0" xr:uid="{0C13C7AF-F5F4-426B-A934-E73543191581}">
      <text>
        <r>
          <rPr>
            <sz val="9"/>
            <color indexed="81"/>
            <rFont val="Tahoma"/>
            <family val="2"/>
          </rPr>
          <t>VM Verona Italien
hotel og startgebyr</t>
        </r>
      </text>
    </comment>
    <comment ref="P21" authorId="0" shapeId="0" xr:uid="{23DB2A24-1830-424F-9886-5F8BD9EF10A5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Q21" authorId="0" shapeId="0" xr:uid="{B3473951-FA68-4524-8BB0-39A8FBF1CE63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21" authorId="0" shapeId="0" xr:uid="{6EED418B-BA7B-44A9-A122-230C2685BB9B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H2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L22" authorId="0" shapeId="0" xr:uid="{273901BF-80DA-467B-8FD5-018E87C6ED26}">
      <text>
        <r>
          <rPr>
            <sz val="9"/>
            <color indexed="81"/>
            <rFont val="Tahoma"/>
            <family val="2"/>
          </rPr>
          <t>EM Sochi Rusland
hotel og startgebyr</t>
        </r>
      </text>
    </comment>
    <comment ref="P22" authorId="0" shapeId="0" xr:uid="{A884087E-B2BE-474B-8287-2A9EEAAE081E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Q22" authorId="0" shapeId="0" xr:uid="{39F60C25-F924-4120-98E3-1E78549E5305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22" authorId="0" shapeId="0" xr:uid="{520669E5-E9A6-4420-B8CC-642407A30437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34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Endnu ikke tilsagn om støtte fra Salling Fonden
</t>
        </r>
      </text>
    </comment>
    <comment ref="L35" authorId="0" shapeId="0" xr:uid="{B8F703EE-052A-4C63-BD1C-C11B69A195BA}">
      <text>
        <r>
          <rPr>
            <sz val="9"/>
            <color indexed="81"/>
            <rFont val="Tahoma"/>
            <family val="2"/>
          </rPr>
          <t xml:space="preserve">Leman 50K
</t>
        </r>
      </text>
    </comment>
    <comment ref="L39" authorId="0" shapeId="0" xr:uid="{9962D30C-F856-48D2-A562-E486A4D719A1}">
      <text>
        <r>
          <rPr>
            <sz val="9"/>
            <color indexed="81"/>
            <rFont val="Tahoma"/>
            <family val="2"/>
          </rPr>
          <t xml:space="preserve">Salg af LH timer ~ 30K
Kommunestøtte ~ 50K
§44-støtte ~ 12K
Sponsorindtægt i blad ~ 6K
FIE udstyr 28K
</t>
        </r>
      </text>
    </comment>
    <comment ref="H48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KUF varslet stigning i timepris på 4,5%
</t>
        </r>
      </text>
    </comment>
    <comment ref="P48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estimat
</t>
        </r>
      </text>
    </comment>
    <comment ref="Q4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GÆT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GÆT/HÅB</t>
        </r>
        <r>
          <rPr>
            <sz val="9"/>
            <color indexed="81"/>
            <rFont val="Tahoma"/>
            <family val="2"/>
          </rPr>
          <t xml:space="preserve">
STOR usikkerhed</t>
        </r>
      </text>
    </comment>
    <comment ref="H49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Kontingent = 5000 kr.
Fagligledelse = 53500 kr.
</t>
        </r>
      </text>
    </comment>
    <comment ref="H53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AUB, AES og barsel vil stige grundet sportschef
</t>
        </r>
      </text>
    </comment>
    <comment ref="L54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P54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Q54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R54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C65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Konto slettet
</t>
        </r>
      </text>
    </comment>
    <comment ref="H75" authorId="0" shapeId="0" xr:uid="{00000000-0006-0000-0000-000019000000}">
      <text>
        <r>
          <rPr>
            <sz val="9"/>
            <color indexed="81"/>
            <rFont val="Tahoma"/>
            <family val="2"/>
          </rPr>
          <t>Regulering i to tempi:
31/7 ved FT's fratrædelse
31/12 ved årsopgørelse
Beløb er incl. Feriepenge til sportschef</t>
        </r>
      </text>
    </comment>
    <comment ref="G105" authorId="0" shapeId="0" xr:uid="{00000000-0006-0000-0000-00001E000000}">
      <text>
        <r>
          <rPr>
            <sz val="9"/>
            <color indexed="81"/>
            <rFont val="Tahoma"/>
            <family val="2"/>
          </rPr>
          <t xml:space="preserve"> incl. Ca. 27K til hensættelse til tilbagebealing af uforbrugte TD-midler
</t>
        </r>
      </text>
    </comment>
    <comment ref="H105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Kalkulerer med 50K til tilbagebetaling af ubrugte midler i vækstprojekt
2014-2017; dvs. hensættelse
</t>
        </r>
      </text>
    </comment>
    <comment ref="G149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Incl. FT: 40K
</t>
        </r>
      </text>
    </comment>
    <comment ref="H149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incl. 25000 af FT's løn
</t>
        </r>
      </text>
    </comment>
    <comment ref="B160" authorId="0" shapeId="0" xr:uid="{00000000-0006-0000-0000-000022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62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67" authorId="0" shapeId="0" xr:uid="{00000000-0006-0000-0000-000024000000}">
      <text>
        <r>
          <rPr>
            <sz val="9"/>
            <color indexed="81"/>
            <rFont val="Tahoma"/>
            <family val="2"/>
          </rPr>
          <t xml:space="preserve">se også trænerkonto 338811 hvor 25K af trænerløn konteres
</t>
        </r>
      </text>
    </comment>
    <comment ref="L168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P168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Q168" authorId="0" shapeId="0" xr:uid="{00000000-0006-0000-0000-000027000000}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R168" authorId="0" shapeId="0" xr:uid="{00000000-0006-0000-0000-000028000000}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I180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Heraf 15.000 kr. ikke individuel</t>
        </r>
      </text>
    </comment>
    <comment ref="F192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Bestyrelsen beviljede 50€ til støtte pr. deltager ved VM. Dvs. 14*50= 700€ ~ +5250 kr.
</t>
        </r>
      </text>
    </comment>
    <comment ref="L208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P208" authorId="0" shapeId="0" xr:uid="{00000000-0006-0000-0000-00002C000000}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Q208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R218" authorId="0" shapeId="0" xr:uid="{834F7281-ED8B-4338-8A97-7B86AC2FD274}">
      <text>
        <r>
          <rPr>
            <sz val="9"/>
            <color indexed="81"/>
            <rFont val="Tahoma"/>
            <family val="2"/>
          </rPr>
          <t xml:space="preserve">Spor 2 justeres i forhold til indtægter
</t>
        </r>
      </text>
    </comment>
    <comment ref="L246" authorId="0" shapeId="0" xr:uid="{00000000-0006-0000-0000-00002E000000}">
      <text>
        <r>
          <rPr>
            <sz val="9"/>
            <color indexed="81"/>
            <rFont val="Tahoma"/>
            <family val="2"/>
          </rPr>
          <t xml:space="preserve">incl. Extra 3000 kr. fra år 2021
</t>
        </r>
      </text>
    </comment>
    <comment ref="L247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P247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Q247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R247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L249" authorId="0" shapeId="0" xr:uid="{1724256D-7768-4F2C-B5E1-874BBEEFD149}">
      <text>
        <r>
          <rPr>
            <sz val="9"/>
            <color indexed="81"/>
            <rFont val="Tahoma"/>
            <family val="2"/>
          </rPr>
          <t>Excl. Afskrivning på bil;
se konto 6600001</t>
        </r>
      </text>
    </comment>
    <comment ref="P249" authorId="0" shapeId="0" xr:uid="{82BFA622-7983-46B6-9C56-B4D148845B5B}">
      <text>
        <r>
          <rPr>
            <sz val="9"/>
            <color indexed="81"/>
            <rFont val="Tahoma"/>
            <family val="2"/>
          </rPr>
          <t xml:space="preserve">Excl. Afskrivning på bil;
se konto 6600001
</t>
        </r>
      </text>
    </comment>
    <comment ref="Q249" authorId="0" shapeId="0" xr:uid="{C3B0B1C5-80DC-4E1D-A084-FF4B7357BF50}">
      <text>
        <r>
          <rPr>
            <sz val="9"/>
            <color indexed="81"/>
            <rFont val="Tahoma"/>
            <family val="2"/>
          </rPr>
          <t xml:space="preserve">Excl. Afskrivning på bil;
se konto 6600001
</t>
        </r>
      </text>
    </comment>
    <comment ref="R249" authorId="0" shapeId="0" xr:uid="{D4D10DF3-5128-4FFC-936C-4A4BE12B810C}">
      <text>
        <r>
          <rPr>
            <sz val="9"/>
            <color indexed="81"/>
            <rFont val="Tahoma"/>
            <family val="2"/>
          </rPr>
          <t>Ecl. Afskrivning på bil; 
se konto 600001</t>
        </r>
      </text>
    </comment>
    <comment ref="L282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heraf ca. 125K til træner
og 180 til sportschef
</t>
        </r>
      </text>
    </comment>
    <comment ref="P282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Q282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R282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F293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Omalokeret fra extern sparring
</t>
        </r>
      </text>
    </comment>
    <comment ref="Q299" authorId="0" shapeId="0" xr:uid="{D1563C47-1FE2-4610-9B3B-170F534711B4}">
      <text>
        <r>
          <rPr>
            <sz val="9"/>
            <color indexed="81"/>
            <rFont val="Tahoma"/>
            <family val="2"/>
          </rPr>
          <t xml:space="preserve">Ikke VM i OL-år.
Hvis kvalifikation forventes ekstrabevilling fra TD for at dække øgede udgifter - ellers kan der forventes færre udgifter da der ikke er VM i 2020 for senior.
</t>
        </r>
      </text>
    </comment>
    <comment ref="F300" authorId="0" shapeId="0" xr:uid="{00000000-0006-0000-0000-000038000000}">
      <text>
        <r>
          <rPr>
            <sz val="9"/>
            <color indexed="81"/>
            <rFont val="Tahoma"/>
            <family val="2"/>
          </rPr>
          <t xml:space="preserve">+ 9000 kr. som er omalokeret fra elitelejre iht. aftale med TD
</t>
        </r>
      </text>
    </comment>
    <comment ref="F305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06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07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09" authorId="0" shapeId="0" xr:uid="{00000000-0006-0000-0000-00003C000000}">
      <text>
        <r>
          <rPr>
            <sz val="9"/>
            <color indexed="81"/>
            <rFont val="Tahoma"/>
            <family val="2"/>
          </rPr>
          <t xml:space="preserve">Ændret fra 15.000 til NUL. 
Iht. aftale med TD er midler overført til Landstræneromkostninger
</t>
        </r>
      </text>
    </comment>
    <comment ref="F310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øget fra 20.000 iht. aftale med TD. Midler omalokeret fra elitelejre
</t>
        </r>
      </text>
    </comment>
    <comment ref="W310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Leipzig Tyskland
</t>
        </r>
      </text>
    </comment>
    <comment ref="AA310" authorId="0" shapeId="0" xr:uid="{00000000-0006-0000-0000-00003F000000}">
      <text>
        <r>
          <rPr>
            <sz val="9"/>
            <color indexed="81"/>
            <rFont val="Tahoma"/>
            <family val="2"/>
          </rPr>
          <t xml:space="preserve">VM i Kina
</t>
        </r>
      </text>
    </comment>
    <comment ref="W311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Tbilisi - Georgien
</t>
        </r>
      </text>
    </comment>
    <comment ref="F314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Øget med 35K fra 22200
</t>
        </r>
      </text>
    </comment>
    <comment ref="F332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Er betalt ultimo 2015
</t>
        </r>
      </text>
    </comment>
    <comment ref="H344" authorId="0" shapeId="0" xr:uid="{00000000-0006-0000-0000-000043000000}">
      <text>
        <r>
          <rPr>
            <sz val="9"/>
            <color indexed="81"/>
            <rFont val="Tahoma"/>
            <family val="2"/>
          </rPr>
          <t>2 melder + 4 opruller + 5 ledninger aktiveres til udlån for evt. ny klub =16.435,-
Op til 4 piste eller meldeapp. eller kombination heraf.</t>
        </r>
      </text>
    </comment>
    <comment ref="L344" authorId="0" shapeId="0" xr:uid="{BFD4BE55-96E4-4DE7-AB8F-ACD8B0C46F38}">
      <text>
        <r>
          <rPr>
            <sz val="9"/>
            <color indexed="81"/>
            <rFont val="Tahoma"/>
            <family val="2"/>
          </rPr>
          <t xml:space="preserve">Forventet FIE donation 4K CHF ~ 28K DKK, indtægt i konto 150006
1/4 Afskrivning af bil (34250 kr.) i spor 1.1 Vækst konto 511108
</t>
        </r>
      </text>
    </comment>
    <comment ref="P344" authorId="0" shapeId="0" xr:uid="{5C93F3FA-72AF-4BD1-8E5B-C260E712467C}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Q344" authorId="0" shapeId="0" xr:uid="{F97CA865-3FBF-4536-A3C4-0E05AA52508B}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R344" authorId="0" shapeId="0" xr:uid="{E83DDAD2-853E-4BCE-BD72-24869F08B1F1}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F35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F30" authorId="0" shapeId="0" xr:uid="{C2B9494B-37CD-4BF4-8316-4AA8A889BD35}">
      <text>
        <r>
          <rPr>
            <sz val="9"/>
            <color indexed="81"/>
            <rFont val="Tahoma"/>
            <family val="2"/>
          </rPr>
          <t xml:space="preserve">Betales af FIE
</t>
        </r>
      </text>
    </comment>
    <comment ref="D36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400€ i holdstartgebyr
</t>
        </r>
      </text>
    </comment>
    <comment ref="F51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Baseret på gennemsnit 3.000 tilskud til 2 trænere + 5 kårde fægtere, 4 fleuret fægtere
</t>
        </r>
      </text>
    </comment>
    <comment ref="E53" authorId="0" shapeId="0" xr:uid="{00000000-0006-0000-0700-000003000000}">
      <text>
        <r>
          <rPr>
            <sz val="9"/>
            <color indexed="81"/>
            <rFont val="Tahoma"/>
            <family val="2"/>
          </rPr>
          <t xml:space="preserve">1000 tilskud til hver fægter
</t>
        </r>
      </text>
    </comment>
    <comment ref="F57" authorId="0" shapeId="0" xr:uid="{00000000-0006-0000-0700-000004000000}">
      <text>
        <r>
          <rPr>
            <sz val="9"/>
            <color indexed="81"/>
            <rFont val="Tahoma"/>
            <family val="2"/>
          </rPr>
          <t xml:space="preserve">Baseret på gennemsnit 3.000 tilskud til 2 trænere + 5 kårde fægtere, 4 fleuret fægtere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C6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Konto slettet
</t>
        </r>
      </text>
    </comment>
    <comment ref="H75" authorId="0" shapeId="0" xr:uid="{00000000-0006-0000-0900-000002000000}">
      <text>
        <r>
          <rPr>
            <sz val="9"/>
            <color indexed="81"/>
            <rFont val="Tahoma"/>
            <family val="2"/>
          </rPr>
          <t xml:space="preserve">375€ for 2015 ER betalt i 2014
</t>
        </r>
      </text>
    </comment>
    <comment ref="G14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Burde være 332.000 kr</t>
        </r>
        <r>
          <rPr>
            <sz val="9"/>
            <color indexed="81"/>
            <rFont val="Tahoma"/>
            <family val="2"/>
          </rPr>
          <t xml:space="preserve">
411.000 - 79.000</t>
        </r>
      </text>
    </comment>
    <comment ref="B175" authorId="0" shapeId="0" xr:uid="{00000000-0006-0000-0900-000004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77" authorId="0" shapeId="0" xr:uid="{00000000-0006-0000-0900-000005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82" authorId="0" shapeId="0" xr:uid="{00000000-0006-0000-0900-000006000000}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C183" authorId="0" shapeId="0" xr:uid="{00000000-0006-0000-0900-000007000000}">
      <text>
        <r>
          <rPr>
            <i/>
            <sz val="9"/>
            <color indexed="81"/>
            <rFont val="Tahoma"/>
            <family val="2"/>
          </rPr>
          <t>ej oprettet konto i Dynaccount endnu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4" authorId="0" shapeId="0" xr:uid="{00000000-0006-0000-0900-000008000000}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H195" authorId="0" shapeId="0" xr:uid="{00000000-0006-0000-0900-000009000000}">
      <text>
        <r>
          <rPr>
            <sz val="9"/>
            <color indexed="81"/>
            <rFont val="Tahoma"/>
            <family val="2"/>
          </rPr>
          <t xml:space="preserve">var ikke med i summen for 2015
</t>
        </r>
      </text>
    </comment>
    <comment ref="H200" authorId="0" shapeId="0" xr:uid="{00000000-0006-0000-0900-00000A000000}">
      <text>
        <r>
          <rPr>
            <sz val="9"/>
            <color indexed="81"/>
            <rFont val="Tahoma"/>
            <family val="2"/>
          </rPr>
          <t>Konto 340218 (7000 kr.) var ved fejl ikke talt med i summen</t>
        </r>
      </text>
    </comment>
    <comment ref="G244" authorId="0" shapeId="0" xr:uid="{00000000-0006-0000-0900-00000B000000}">
      <text>
        <r>
          <rPr>
            <sz val="9"/>
            <color indexed="81"/>
            <rFont val="Tahoma"/>
            <family val="2"/>
          </rPr>
          <t>Budget-tal i version 1</t>
        </r>
      </text>
    </comment>
    <comment ref="H255" authorId="0" shapeId="0" xr:uid="{00000000-0006-0000-0900-00000C000000}">
      <text>
        <r>
          <rPr>
            <sz val="9"/>
            <color indexed="81"/>
            <rFont val="Tahoma"/>
            <family val="2"/>
          </rPr>
          <t xml:space="preserve">Var ved en fejl ikke talt med i totale sum for projektet
</t>
        </r>
      </text>
    </comment>
    <comment ref="G256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2014 budgettal = 585.000 kr.</t>
        </r>
        <r>
          <rPr>
            <sz val="9"/>
            <color indexed="81"/>
            <rFont val="Tahoma"/>
            <family val="2"/>
          </rPr>
          <t xml:space="preserve"> 
(= 664.000 - 79.000)
Dette er for lidt i forhold til detailbudgettet, da MW's løn i breddeudvalget (3002) er korrigeret for projektandel - der er dog korrigeret 8489 kr. for lidt - se konto 3002 under Bredde
OK/DFF</t>
        </r>
      </text>
    </comment>
    <comment ref="G259" authorId="0" shapeId="0" xr:uid="{00000000-0006-0000-0900-00000E000000}">
      <text>
        <r>
          <rPr>
            <sz val="9"/>
            <color indexed="81"/>
            <rFont val="Tahoma"/>
            <family val="2"/>
          </rPr>
          <t xml:space="preserve">143.000 kr. breddeudv kto 30020 i 2014
</t>
        </r>
      </text>
    </comment>
    <comment ref="G261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 xml:space="preserve">143.000 kr.
</t>
        </r>
        <r>
          <rPr>
            <sz val="9"/>
            <color indexed="81"/>
            <rFont val="Tahoma"/>
            <family val="2"/>
          </rPr>
          <t xml:space="preserve">Se breddeudvalg
konto 30020 i 2014
</t>
        </r>
      </text>
    </comment>
    <comment ref="G265" authorId="0" shapeId="0" xr:uid="{00000000-0006-0000-0900-000010000000}">
      <text>
        <r>
          <rPr>
            <sz val="9"/>
            <color indexed="81"/>
            <rFont val="Tahoma"/>
            <family val="2"/>
          </rPr>
          <t xml:space="preserve">Var ikke med i budgettet for 2014 som selvstændigt punkt
</t>
        </r>
      </text>
    </comment>
    <comment ref="G326" authorId="0" shapeId="0" xr:uid="{00000000-0006-0000-0900-000011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Var før i Udgifter Admin.</t>
        </r>
      </text>
    </comment>
    <comment ref="H326" authorId="0" shapeId="0" xr:uid="{00000000-0006-0000-0900-000012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sharedStrings.xml><?xml version="1.0" encoding="utf-8"?>
<sst xmlns="http://schemas.openxmlformats.org/spreadsheetml/2006/main" count="1494" uniqueCount="572">
  <si>
    <t>Overskrift</t>
  </si>
  <si>
    <t>Andre tilskud</t>
  </si>
  <si>
    <t>Sum</t>
  </si>
  <si>
    <t>Tilskud i alt</t>
  </si>
  <si>
    <t>INDTÆGTER I ALT</t>
  </si>
  <si>
    <t>Administration</t>
  </si>
  <si>
    <t>Administration i alt</t>
  </si>
  <si>
    <t>Afskrivninger</t>
  </si>
  <si>
    <t>Elite</t>
  </si>
  <si>
    <t>Eliteudvalg</t>
  </si>
  <si>
    <t>Porto</t>
  </si>
  <si>
    <t>Forsikring</t>
  </si>
  <si>
    <t>Kontingenter i alt</t>
  </si>
  <si>
    <t>Diverse</t>
  </si>
  <si>
    <t>Tilskud</t>
  </si>
  <si>
    <t>Transport af udstyr</t>
  </si>
  <si>
    <t>Dommeruddannelse</t>
  </si>
  <si>
    <t>Diverse indtægter</t>
  </si>
  <si>
    <t>Fonde og støtteordninger</t>
  </si>
  <si>
    <t>Klubkontingent</t>
  </si>
  <si>
    <t>Transport udl. stævner - delt.bet.</t>
  </si>
  <si>
    <t>Oph. udl. stævner - delt.betaling</t>
  </si>
  <si>
    <t>Startgebyr udl.stævner - delt.betaling</t>
  </si>
  <si>
    <t>Sommerlejr</t>
  </si>
  <si>
    <t>Seminar</t>
  </si>
  <si>
    <t>Telefon</t>
  </si>
  <si>
    <t>Kontorhold</t>
  </si>
  <si>
    <t>Hjemmeside</t>
  </si>
  <si>
    <t>Repræsentation/Gaver</t>
  </si>
  <si>
    <t>Transport</t>
  </si>
  <si>
    <t>Trænerkursus</t>
  </si>
  <si>
    <t>Ophold</t>
  </si>
  <si>
    <t>Fortæring</t>
  </si>
  <si>
    <t>Promovering</t>
  </si>
  <si>
    <t>B&amp;U-arbejde</t>
  </si>
  <si>
    <t>Stævnetilskud til klubber</t>
  </si>
  <si>
    <t>Udstyr til landshold</t>
  </si>
  <si>
    <t>Eliteudvalg i alt</t>
  </si>
  <si>
    <t>Fælles klubaktiviteter</t>
  </si>
  <si>
    <t>Bestyrelse i alt</t>
  </si>
  <si>
    <t>Stævner</t>
  </si>
  <si>
    <t>Opbevaring af udstyr</t>
  </si>
  <si>
    <t>Stævner i alt</t>
  </si>
  <si>
    <t>Konto
nr.</t>
  </si>
  <si>
    <t>Kontonavn</t>
  </si>
  <si>
    <t>B&amp;U-udvalg</t>
  </si>
  <si>
    <t>Breddeudvalg</t>
  </si>
  <si>
    <t>Veteranudvalg</t>
  </si>
  <si>
    <t>Klubstart</t>
  </si>
  <si>
    <t>Kvikkasse</t>
  </si>
  <si>
    <t>Udvalgsmøder</t>
  </si>
  <si>
    <t>Repræsentantskab</t>
  </si>
  <si>
    <t>Bestyrelse nationalt arbejde</t>
  </si>
  <si>
    <t>Repræsentantskab i alt</t>
  </si>
  <si>
    <t>Bestyrelse nationalt arbejde i alt</t>
  </si>
  <si>
    <t>Andre møder og samlinger i alt</t>
  </si>
  <si>
    <t>Bestyrelse internationalt arbejde</t>
  </si>
  <si>
    <t>B&amp;U-udvalg i alt</t>
  </si>
  <si>
    <t>Evt. forklaring til hvad der konteres</t>
  </si>
  <si>
    <t>Konto-
ansvarlig</t>
  </si>
  <si>
    <t>Best.</t>
  </si>
  <si>
    <t>B&amp;U</t>
  </si>
  <si>
    <t>Bredde</t>
  </si>
  <si>
    <t>Veteran</t>
  </si>
  <si>
    <t>DFF-Sommerlejr</t>
  </si>
  <si>
    <t>Udvalgsmøder i alt</t>
  </si>
  <si>
    <t>Breddeudvalg i alt</t>
  </si>
  <si>
    <t>?</t>
  </si>
  <si>
    <t>B&amp;U udviklingspulje</t>
  </si>
  <si>
    <t>Veteran udvalg i alt</t>
  </si>
  <si>
    <t>Udenlandske stævner (VM, EM hold)</t>
  </si>
  <si>
    <t>Bestyrelse internationalt arbejde i alt</t>
  </si>
  <si>
    <t>Vækstprojekter i alt</t>
  </si>
  <si>
    <t>Landshold</t>
  </si>
  <si>
    <t>Løn landstræner</t>
  </si>
  <si>
    <t>Træningssamling</t>
  </si>
  <si>
    <t>Transporttilskud til elitesamlinger</t>
  </si>
  <si>
    <t>Landshold i alt</t>
  </si>
  <si>
    <t>Udviklingskonsulent</t>
  </si>
  <si>
    <t>Udviklingskonsulent i alt</t>
  </si>
  <si>
    <t>Klubkontingenter</t>
  </si>
  <si>
    <t>ATP-bidrag</t>
  </si>
  <si>
    <t>KUF</t>
  </si>
  <si>
    <t>Ekstern revision af regnskab</t>
  </si>
  <si>
    <t>Kopier</t>
  </si>
  <si>
    <t>Ny</t>
  </si>
  <si>
    <t>Bankgebyr</t>
  </si>
  <si>
    <t>Sponsorindtægter</t>
  </si>
  <si>
    <t>Dommeruddannelse i alt</t>
  </si>
  <si>
    <t>Løn - projektkonsulenter</t>
  </si>
  <si>
    <t>Materiel</t>
  </si>
  <si>
    <t xml:space="preserve">Afholdelse af 3 x TD eliteLejre </t>
  </si>
  <si>
    <t xml:space="preserve">Afholdelse af 3 x DFF elitelejre </t>
  </si>
  <si>
    <t>Løn til assisterende trænere</t>
  </si>
  <si>
    <t>Dommergebyr til WC, senior EM og VM</t>
  </si>
  <si>
    <t>TD eliteLejr II</t>
  </si>
  <si>
    <t>TD eliteLejr III</t>
  </si>
  <si>
    <t>TD eliteLejr I</t>
  </si>
  <si>
    <t>Eksterne trænere</t>
  </si>
  <si>
    <t>Ekstern sparring</t>
  </si>
  <si>
    <t>BUDGET
2015</t>
  </si>
  <si>
    <t xml:space="preserve">Startgebyrer EM, VM </t>
  </si>
  <si>
    <t>Diverse møder for bruttotrupppen</t>
  </si>
  <si>
    <t>Deltagelse i udenlandske træningslejre</t>
  </si>
  <si>
    <t>Trænerkursus - deltagerbetaling</t>
  </si>
  <si>
    <t>Breddeprojekter</t>
  </si>
  <si>
    <t xml:space="preserve">Løn tilskud </t>
  </si>
  <si>
    <t>(KUF bidrag)</t>
  </si>
  <si>
    <t>Lejre</t>
  </si>
  <si>
    <t>Vestdanmark bredde projekt</t>
  </si>
  <si>
    <t>ATK</t>
  </si>
  <si>
    <t>er flyttet til indtægt i 2015</t>
  </si>
  <si>
    <t>Godgørelse hjælpetræner</t>
  </si>
  <si>
    <t>Transport projektkonsuslenter</t>
  </si>
  <si>
    <t>Kursus</t>
  </si>
  <si>
    <t>Plakanter mv.</t>
  </si>
  <si>
    <t>Fægteudstyr - tøj &amp; våben mm.</t>
  </si>
  <si>
    <t>Fægteanlæg - melder, opruller, piste mm.</t>
  </si>
  <si>
    <t>Kørsel, incl. fragt af udstyr</t>
  </si>
  <si>
    <t>Deltagerbetaling - Senior EM</t>
  </si>
  <si>
    <t>Deltagerbetaling - Kadet/Junior - VM</t>
  </si>
  <si>
    <t>Deltagerbetaling - Senior VM</t>
  </si>
  <si>
    <t>Deltagerbetaling - Kadet/Junior - EM</t>
  </si>
  <si>
    <t>Andre indtægter - i alt</t>
  </si>
  <si>
    <t>Husleje DIF (Kælderrum)</t>
  </si>
  <si>
    <t>2015: flyttet til indtægter</t>
  </si>
  <si>
    <t>2015: flyttet til Lejre</t>
  </si>
  <si>
    <t>2015: flyttet til projekter</t>
  </si>
  <si>
    <t>Internationale lejre / Andre lejre</t>
  </si>
  <si>
    <t>Resultat før finansielle poster</t>
  </si>
  <si>
    <t>Resultat af Drift før afskrivninger</t>
  </si>
  <si>
    <t>Løn - udviklingskonsulent</t>
  </si>
  <si>
    <t>Husleje Århus (KB)</t>
  </si>
  <si>
    <t>Projekter</t>
  </si>
  <si>
    <t>Dansk Fægte-Forbund</t>
  </si>
  <si>
    <t>Løn i alt</t>
  </si>
  <si>
    <t>Drift</t>
  </si>
  <si>
    <t>Udstyr i alt</t>
  </si>
  <si>
    <t>Team DK projekt i alt</t>
  </si>
  <si>
    <t>Negativ tal = Underskud</t>
  </si>
  <si>
    <t>Administration vækstprojekt, incl. IT/tlf.</t>
  </si>
  <si>
    <t>Projekt i alt før tilskud</t>
  </si>
  <si>
    <t>Vækst Vest-DK</t>
  </si>
  <si>
    <t>Vækst Ring 4 - KBH (Koncentreret fokus)</t>
  </si>
  <si>
    <t>Løn administration i alt</t>
  </si>
  <si>
    <t>Løn administration</t>
  </si>
  <si>
    <t>DIF støtte til udviklingskonsulent</t>
  </si>
  <si>
    <t>2015: Flyttet til projekt</t>
  </si>
  <si>
    <t>2015: Flyttet til indtægt</t>
  </si>
  <si>
    <t>Finansielle poster i alt</t>
  </si>
  <si>
    <t>KUF diverse</t>
  </si>
  <si>
    <t>KUF i alt</t>
  </si>
  <si>
    <t xml:space="preserve">Deltagerbetaling - Diverse stævner </t>
  </si>
  <si>
    <t>Andre indtægter</t>
  </si>
  <si>
    <t>Kontingenter &amp; Licenser</t>
  </si>
  <si>
    <t>Vækst Vest-DK i alt</t>
  </si>
  <si>
    <t>Vækststøtte Vest-DK</t>
  </si>
  <si>
    <t>Finansielle poster</t>
  </si>
  <si>
    <t>Ny9</t>
  </si>
  <si>
    <t>ATK - projekt / Hjemmeside</t>
  </si>
  <si>
    <t>Administraion</t>
  </si>
  <si>
    <t>Kontotype</t>
  </si>
  <si>
    <t xml:space="preserve">Budgetteret Årsresultat </t>
  </si>
  <si>
    <t>INDTÆGTER/OMSÆTNING</t>
  </si>
  <si>
    <t>UDGIFTER/OMKOSTNINGER:</t>
  </si>
  <si>
    <t>?9</t>
  </si>
  <si>
    <t xml:space="preserve">Sommerlejr - Deltagergebyr </t>
  </si>
  <si>
    <t>Fægtehold 40+ (= 2 lejre)</t>
  </si>
  <si>
    <t>Materiel i alt</t>
  </si>
  <si>
    <t>Stævner og materiel i alt</t>
  </si>
  <si>
    <t>UDGIFTER/OMKOSTNINGER I ALT</t>
  </si>
  <si>
    <t>2015: flyttet til indtægt</t>
  </si>
  <si>
    <t>Gebyr rente</t>
  </si>
  <si>
    <t>Kongresstøtte</t>
  </si>
  <si>
    <t>2015: flyttet til finansielle poster</t>
  </si>
  <si>
    <t>DIF-tilskud til vækst</t>
  </si>
  <si>
    <t>Startgebyrer WC hold</t>
  </si>
  <si>
    <t xml:space="preserve">Landstræner, indkvartering </t>
  </si>
  <si>
    <t>Landstræner, rejser</t>
  </si>
  <si>
    <t>ATK i alt</t>
  </si>
  <si>
    <t>Salg/Avance af licencer - FIE &amp; ECF</t>
  </si>
  <si>
    <t>Ny 9</t>
  </si>
  <si>
    <t>Diverse / Ranglistevindere</t>
  </si>
  <si>
    <t>DIF; anden støtte</t>
  </si>
  <si>
    <t>KUF assistance</t>
  </si>
  <si>
    <t>Salg af udstyr</t>
  </si>
  <si>
    <t>Materiel &amp; Stævner</t>
  </si>
  <si>
    <t>Team-Danmark</t>
  </si>
  <si>
    <t>Omkostninger i alt</t>
  </si>
  <si>
    <t>IT/Telefon</t>
  </si>
  <si>
    <t>BUDGET</t>
  </si>
  <si>
    <t>Team-Danmark projekt - Tilskud i alt</t>
  </si>
  <si>
    <t>Lejre - Deltagerbetalinger</t>
  </si>
  <si>
    <t>Diverse uforudsete udgifter</t>
  </si>
  <si>
    <t xml:space="preserve">BUDGET
2014
</t>
  </si>
  <si>
    <t>BUDGET
2016</t>
  </si>
  <si>
    <t>TD fægtere rejser</t>
  </si>
  <si>
    <t>TD fægtere, indkvartering</t>
  </si>
  <si>
    <t>GL. Konto
nr.</t>
  </si>
  <si>
    <t>DIF-tilskud til udviklingskonsuslent</t>
  </si>
  <si>
    <t>DIF-tilskud til KUF</t>
  </si>
  <si>
    <t>DIF-tilskud (kvartal)</t>
  </si>
  <si>
    <t>DIF-tilskud (kongres)</t>
  </si>
  <si>
    <t>FIE-tilskud (kongrestilskud)</t>
  </si>
  <si>
    <t>Deltagerbetaling - Div. stævner - i alt</t>
  </si>
  <si>
    <t>Team-Danmark - Tilskud</t>
  </si>
  <si>
    <t>Team-Danmark . Tilskud</t>
  </si>
  <si>
    <t>Administration IT</t>
  </si>
  <si>
    <t>Regnskabsass., incl. afgift DIF-løn</t>
  </si>
  <si>
    <t>x</t>
  </si>
  <si>
    <t>DIF kontingent</t>
  </si>
  <si>
    <t>FIE kontingent</t>
  </si>
  <si>
    <t>EFC kontingent</t>
  </si>
  <si>
    <t>Bestyrelse &amp; internationalt arbejde</t>
  </si>
  <si>
    <t>Repræsentantskab - Ophold</t>
  </si>
  <si>
    <t>Repræsentantskab - Transport</t>
  </si>
  <si>
    <t>Repræsentantskab - Fortæring</t>
  </si>
  <si>
    <t>Bestyrelse national - Ophold</t>
  </si>
  <si>
    <t>Bestyrelse national - Transport</t>
  </si>
  <si>
    <t>Bestyrelse national - Fortæring</t>
  </si>
  <si>
    <t>Bestyrelse andre møder</t>
  </si>
  <si>
    <t>Bestyrelse andre møder - Ophold</t>
  </si>
  <si>
    <t>Bestyrelse andre møder - Transport</t>
  </si>
  <si>
    <t>Bestyrelse andre møder - Fortæring</t>
  </si>
  <si>
    <t>Bestyrelse internationalt - Ophold</t>
  </si>
  <si>
    <t>Bestyrelse internationalt - Transport</t>
  </si>
  <si>
    <t>Bestyrelse internationalt - Fortæring</t>
  </si>
  <si>
    <t>Bestyrelse internationalt - Diæter</t>
  </si>
  <si>
    <t>Bestyrelse internationalt - Diverse</t>
  </si>
  <si>
    <t>Karen Lachmann's Leget</t>
  </si>
  <si>
    <t>B&amp;U Udvalgsmøder - Ophold</t>
  </si>
  <si>
    <t>B&amp;U Udvalgsmøder - Transport</t>
  </si>
  <si>
    <t>B&amp;U Udvalgsmøder - Fortæring</t>
  </si>
  <si>
    <t>B&amp;U Øvrige</t>
  </si>
  <si>
    <t>B&amp;U Øvrige i alt</t>
  </si>
  <si>
    <t>Bredde Udvalgsmøder</t>
  </si>
  <si>
    <t>Bredde udvalgsmøder - Ophold</t>
  </si>
  <si>
    <t>Bredde udvalgsmøder -Transport</t>
  </si>
  <si>
    <t>Bredde udvalgsmøder -Fortæring</t>
  </si>
  <si>
    <t>Bredde Udvalgsmøder i alt</t>
  </si>
  <si>
    <t>Udviklingskonsulent - Ophold</t>
  </si>
  <si>
    <t>Udviklingskonsulent - Transport</t>
  </si>
  <si>
    <t>Udviklingskonsulent - Fortæring</t>
  </si>
  <si>
    <t>Udviklingskonsulent - Løn</t>
  </si>
  <si>
    <t>Dommerudd. - Ophold</t>
  </si>
  <si>
    <t>Dommerudd. - Transport</t>
  </si>
  <si>
    <t>Dommerudd. - Diæter</t>
  </si>
  <si>
    <t>Dommerudd. - Honorar/gebyr mv.</t>
  </si>
  <si>
    <t>Bredde - Øvrige</t>
  </si>
  <si>
    <t>FIE-licenser Danske dommere</t>
  </si>
  <si>
    <t>Bredde - Udviklingspulje</t>
  </si>
  <si>
    <t>Bredde Øvrige i alt</t>
  </si>
  <si>
    <t>Elite Udvalgsarbejde - diverse</t>
  </si>
  <si>
    <t>Stævneophold</t>
  </si>
  <si>
    <t>Stævne - Diæter/fortæring</t>
  </si>
  <si>
    <t>Kadet, junior, senior</t>
  </si>
  <si>
    <t>Holdstøtte v/. EM &amp; VM</t>
  </si>
  <si>
    <t>LEMAN-støtte (Kadet &amp; Junior)</t>
  </si>
  <si>
    <t>Stævnestøtte til fægtere</t>
  </si>
  <si>
    <t>Elite Udvalgsmøder</t>
  </si>
  <si>
    <t>Veteran - Udvalgsmøder</t>
  </si>
  <si>
    <t>Veteranudvalg møder - Ophold</t>
  </si>
  <si>
    <t>Veteranudvalg møder - Transport</t>
  </si>
  <si>
    <t>Veteranudvalg møder - Fortæring</t>
  </si>
  <si>
    <t>Veteraanudvalgsarbejde - Diverse</t>
  </si>
  <si>
    <t>Veteran Udvalgsarbejde i alt</t>
  </si>
  <si>
    <t>Medaljer, pokaler, indgraveringer mv</t>
  </si>
  <si>
    <t>FIE stævner Doping kontrol / Læge</t>
  </si>
  <si>
    <t>Stævner - diverse</t>
  </si>
  <si>
    <t>Dommer ved DM individuelt/Hold</t>
  </si>
  <si>
    <t>Andre lejre</t>
  </si>
  <si>
    <t>Lejre i alt</t>
  </si>
  <si>
    <t>Vækstprojektet i alt</t>
  </si>
  <si>
    <t>Omkostninger (Landstræner m.fl.)</t>
  </si>
  <si>
    <t xml:space="preserve"> Løn (Landstræner m.fl.)</t>
  </si>
  <si>
    <t xml:space="preserve">Udstyr </t>
  </si>
  <si>
    <t>Renteindtægt, Bank</t>
  </si>
  <si>
    <t>Renter, Debitor (System)</t>
  </si>
  <si>
    <t>Rykkergebyr, Debitor (System)</t>
  </si>
  <si>
    <t>Valutadifferencer gevinst, Debitor (System)</t>
  </si>
  <si>
    <t xml:space="preserve"> Valutadifferencer gevinst, Kreditor (System)</t>
  </si>
  <si>
    <t>Renteudgift, Bank</t>
  </si>
  <si>
    <t>Valutadifferencer tab, Debitor (System)</t>
  </si>
  <si>
    <t>Valutadifferencer tab, Kreditor (System)</t>
  </si>
  <si>
    <t>Fægteudstyr - fægter</t>
  </si>
  <si>
    <t>Landsholdsdragt - fægter</t>
  </si>
  <si>
    <t>World Cups startgebyrer</t>
  </si>
  <si>
    <t>VM og EM startgebyrer</t>
  </si>
  <si>
    <t>Landstræner træningsudstyr</t>
  </si>
  <si>
    <t>Deltagelse ved EM &amp; VM</t>
  </si>
  <si>
    <t>Deltagelse ved WC &amp; GP stævner</t>
  </si>
  <si>
    <t>Individuel undervis. (lektion)</t>
  </si>
  <si>
    <t>Landstræner, diæter</t>
  </si>
  <si>
    <t xml:space="preserve">Konkurrencer, lejre og sparring </t>
  </si>
  <si>
    <t>Konkurrencer, lejre og sparring i alt</t>
  </si>
  <si>
    <t>Landsholdsdragter mm.</t>
  </si>
  <si>
    <t>Løn - landstræner og øvrige trænere</t>
  </si>
  <si>
    <t>Hjemmeside 16; betalt i dec.15</t>
  </si>
  <si>
    <t>Materiel til stævner incl. Ophardt</t>
  </si>
  <si>
    <t>Lejre - Deltagerbetalinger i alt</t>
  </si>
  <si>
    <t>Kontingent + bidrag faglig leder</t>
  </si>
  <si>
    <t>Ferie</t>
  </si>
  <si>
    <t>Holddeltagelse (Herre kårde)</t>
  </si>
  <si>
    <t>Tilskud til sommerlejr for talent/elite</t>
  </si>
  <si>
    <t>Dommere til EM/VM senior, junior og kadet</t>
  </si>
  <si>
    <t>Realiseret 2015</t>
  </si>
  <si>
    <t>FIE/EFC-tilskud (EM &amp; VM tilskud)</t>
  </si>
  <si>
    <t>2016:
Iht. aftale med TD er midler (3*20K) omalokeret til andre formål i projektet</t>
  </si>
  <si>
    <t>incl. Holddeltagelse i lejr</t>
  </si>
  <si>
    <t>2017:Udleje af FT: +60K</t>
  </si>
  <si>
    <t>Stævnetransport (træner, CDD)</t>
  </si>
  <si>
    <t>Timeløn</t>
  </si>
  <si>
    <t>Årstimer</t>
  </si>
  <si>
    <t>Sportschef - lønudgifter</t>
  </si>
  <si>
    <t>50€/deltager v. VM, dog max. 5K</t>
  </si>
  <si>
    <t>incl. AUB, AES, barsel</t>
  </si>
  <si>
    <t>36K kontorplads = Vækstprojekt</t>
  </si>
  <si>
    <t>Håndtering af udstyr</t>
  </si>
  <si>
    <t xml:space="preserve"> 1/2-tid</t>
  </si>
  <si>
    <t>Fuldtid</t>
  </si>
  <si>
    <t>Løn sportschef</t>
  </si>
  <si>
    <t>2017: ikke dommertilskud</t>
  </si>
  <si>
    <t>Senior hold kårde + fleuret</t>
  </si>
  <si>
    <t>incl. online bogføringssystem</t>
  </si>
  <si>
    <t>NB:</t>
  </si>
  <si>
    <t>ikke optjent ferie første år (~ løn 11 måneder)</t>
  </si>
  <si>
    <t>2017: nyt oplag af fægtebog</t>
  </si>
  <si>
    <t>kontorplads 2*18K (16) 2*19,1K(17)</t>
  </si>
  <si>
    <t>2017:2xpc+printer ~ 20K max.</t>
  </si>
  <si>
    <r>
      <t xml:space="preserve">ATK </t>
    </r>
    <r>
      <rPr>
        <sz val="8"/>
        <color theme="1"/>
        <rFont val="Calibri"/>
        <family val="2"/>
        <scheme val="minor"/>
      </rPr>
      <t>(Aldersrelateret Trænings Koncept)</t>
    </r>
  </si>
  <si>
    <t>DB's løn</t>
  </si>
  <si>
    <t>Indtægter</t>
  </si>
  <si>
    <t>Samlet antal ophold</t>
  </si>
  <si>
    <t>&gt;&gt;&gt;</t>
  </si>
  <si>
    <t>Samlet antal fægtere</t>
  </si>
  <si>
    <t>Antal betalende danske fægtere (Early bird)</t>
  </si>
  <si>
    <t>Antal betalende danske fægtere (normal pris)</t>
  </si>
  <si>
    <t>Betalinger fra danske fægtere</t>
  </si>
  <si>
    <t>Antal betalende udenlandske fægtere</t>
  </si>
  <si>
    <t xml:space="preserve">Betalinger fra udenslandske fægtere </t>
  </si>
  <si>
    <t>Antal gratis fægtere</t>
  </si>
  <si>
    <t>Kenneth modregnes Jan S. Stine modregnes Flemming.</t>
  </si>
  <si>
    <t>Indtægte slikbod</t>
  </si>
  <si>
    <t>Samlet antal andre ophold</t>
  </si>
  <si>
    <t>Antal trænere</t>
  </si>
  <si>
    <t>Særlige trænere</t>
  </si>
  <si>
    <t>Ferenc, betalt af DFF - vores udgift: 0. Nika særlig aftale med os - vores udgift: 2800+3650</t>
  </si>
  <si>
    <t>Normalt betalte trænere</t>
  </si>
  <si>
    <t>I alt</t>
  </si>
  <si>
    <t>Trænere der får gratis ophold</t>
  </si>
  <si>
    <t>2 trænere med børn, 3 udenlandske trænere</t>
  </si>
  <si>
    <t>Antal lejrledere</t>
  </si>
  <si>
    <t>Antal andre gratis ophold</t>
  </si>
  <si>
    <t>Udgifter</t>
  </si>
  <si>
    <t>pr person</t>
  </si>
  <si>
    <t>Kost &amp; Logi</t>
  </si>
  <si>
    <t>Natmad</t>
  </si>
  <si>
    <t>Trænergodtgørelser</t>
  </si>
  <si>
    <t>Udgift slikbod</t>
  </si>
  <si>
    <t>Lejrledergodtgørelser</t>
  </si>
  <si>
    <t>Særlige godtgørelser (Nika)</t>
  </si>
  <si>
    <t>Forbrugsting (tape, plaster isposer, osv.)</t>
  </si>
  <si>
    <t>Træneraftner</t>
  </si>
  <si>
    <t>T-shirts</t>
  </si>
  <si>
    <t>Diverse transportudgifter</t>
  </si>
  <si>
    <t>Samlet resultat</t>
  </si>
  <si>
    <t>Billetpris (Early Bird)</t>
  </si>
  <si>
    <t>Billetpris (Normal)</t>
  </si>
  <si>
    <t>Billetpris (Udenlands)</t>
  </si>
  <si>
    <t>€</t>
  </si>
  <si>
    <t>Løn; landstræner, sportschef, ass.træner</t>
  </si>
  <si>
    <t>Udgifter DKK</t>
  </si>
  <si>
    <t>Løn</t>
  </si>
  <si>
    <t>Konkurrencer</t>
  </si>
  <si>
    <t>fly</t>
  </si>
  <si>
    <r>
      <t xml:space="preserve">hotel; </t>
    </r>
    <r>
      <rPr>
        <i/>
        <sz val="9"/>
        <color theme="1"/>
        <rFont val="Calibri"/>
        <family val="2"/>
        <scheme val="minor"/>
      </rPr>
      <t>7 dage</t>
    </r>
  </si>
  <si>
    <t>diæt - 85%</t>
  </si>
  <si>
    <t>Rejseomkostninger, sportschef</t>
  </si>
  <si>
    <t>Rejseomkostninger, kårde-landshold; 4 personer, i alt</t>
  </si>
  <si>
    <t>Rejseomkostninger, fleuret-landshold; 4 personer, i alt</t>
  </si>
  <si>
    <t>Rejseudgifter</t>
  </si>
  <si>
    <t>Hold-</t>
  </si>
  <si>
    <t>Rejse-</t>
  </si>
  <si>
    <t>Team World Cups</t>
  </si>
  <si>
    <t>Sportschef</t>
  </si>
  <si>
    <t>Træner</t>
  </si>
  <si>
    <t>gebyr</t>
  </si>
  <si>
    <t>tilskud</t>
  </si>
  <si>
    <t>Kårde: WC Heidenheim</t>
  </si>
  <si>
    <t>Kårde:WC Vancouver</t>
  </si>
  <si>
    <t>Kårde: WC Paris</t>
  </si>
  <si>
    <t>Kårde:WC Bern</t>
  </si>
  <si>
    <t>Fleuret: WC Bonn</t>
  </si>
  <si>
    <t>Fleuret: WC Paris</t>
  </si>
  <si>
    <t>Fleuret: WC St. Petersburg</t>
  </si>
  <si>
    <t>Fleuret: WC Egypten</t>
  </si>
  <si>
    <t>Fleuret: WC Japan</t>
  </si>
  <si>
    <t>Total</t>
  </si>
  <si>
    <r>
      <t xml:space="preserve">BUDGET
2017 </t>
    </r>
    <r>
      <rPr>
        <b/>
        <i/>
        <sz val="8"/>
        <color rgb="FFFF3300"/>
        <rFont val="Calibri"/>
        <family val="2"/>
        <scheme val="minor"/>
      </rPr>
      <t xml:space="preserve">
</t>
    </r>
  </si>
  <si>
    <t>Realiseret 2016</t>
  </si>
  <si>
    <t>Godtgørelse hjælpetræner</t>
  </si>
  <si>
    <t>Realiseret + årsestimat
2017</t>
  </si>
  <si>
    <t>Estimat
REST 2017</t>
  </si>
  <si>
    <t>BUDGET
2018</t>
  </si>
  <si>
    <t>FIE-licenser - Danske dommere</t>
  </si>
  <si>
    <t>Rekruttering</t>
  </si>
  <si>
    <t>Hjemmeside +</t>
  </si>
  <si>
    <t>SPOR 1: Vækstprojekter i alt</t>
  </si>
  <si>
    <t>SPOR 2: Talent/Elite (Team-Danmark)</t>
  </si>
  <si>
    <t>Workshop mv.</t>
  </si>
  <si>
    <t>LP - Sponsor</t>
  </si>
  <si>
    <t>SPOR 3 - Udvikling Organisation mv.</t>
  </si>
  <si>
    <t>Spor 3 i alt</t>
  </si>
  <si>
    <t>Spor 2 - i alt</t>
  </si>
  <si>
    <t>Udviklingskonsulent:</t>
  </si>
  <si>
    <t>Spor 1.1 Nye klubber i Vestdanmark</t>
  </si>
  <si>
    <t>Vækst Ring 4 - KBH</t>
  </si>
  <si>
    <t>SPOR 1 - Flere fægtere: &gt; 2000 i 2021</t>
  </si>
  <si>
    <t>Hjælpetræner</t>
  </si>
  <si>
    <t>Udgifter til rekruttering</t>
  </si>
  <si>
    <t>plakater mv.</t>
  </si>
  <si>
    <t>Fægteudstyr</t>
  </si>
  <si>
    <t>Spor 1.1 i alt</t>
  </si>
  <si>
    <t>1+2+4</t>
  </si>
  <si>
    <r>
      <t xml:space="preserve">Startstøtte nye klubber </t>
    </r>
    <r>
      <rPr>
        <u/>
        <sz val="9"/>
        <color theme="1"/>
        <rFont val="Calibri"/>
        <family val="2"/>
        <scheme val="minor"/>
      </rPr>
      <t>uden</t>
    </r>
    <r>
      <rPr>
        <sz val="9"/>
        <color theme="1"/>
        <rFont val="Calibri"/>
        <family val="2"/>
        <scheme val="minor"/>
      </rPr>
      <t xml:space="preserve"> for DFF-regi</t>
    </r>
  </si>
  <si>
    <t>Spor 1.3 HEMA</t>
  </si>
  <si>
    <t>Spor 1.4 Træneruddannelse; Niv. 1+2</t>
  </si>
  <si>
    <t>Udgifter til undervisning materiel mv.</t>
  </si>
  <si>
    <t>Transport projekt/-udv.konsuslenter</t>
  </si>
  <si>
    <t>Spor 1.5 Udvikling af stævner/Lejre</t>
  </si>
  <si>
    <t>Spor 1.3 - I alt</t>
  </si>
  <si>
    <t>Spor 1.2 - I alt</t>
  </si>
  <si>
    <t>Spor 1.4 - I alt</t>
  </si>
  <si>
    <t>Løn/MW projekt</t>
  </si>
  <si>
    <t>Transport 1-5</t>
  </si>
  <si>
    <t>Spor 1.5 - I alt</t>
  </si>
  <si>
    <t>DIF-strategistøtte</t>
  </si>
  <si>
    <t>Spor 1.2 Klubudvikling; ej DFF-regi</t>
  </si>
  <si>
    <t>Udg. - "fægtemester"/underviser</t>
  </si>
  <si>
    <t>MW</t>
  </si>
  <si>
    <t>Slut 2017</t>
  </si>
  <si>
    <t>Spor 2.1 - "Resultater i verdensklasse"</t>
  </si>
  <si>
    <t>Spor 2.2+2.3 Prof.lederskab/Talentudv.miljøer</t>
  </si>
  <si>
    <t>Sportschef; Udviklingsmanual incl. ATK 2.0</t>
  </si>
  <si>
    <r>
      <rPr>
        <b/>
        <i/>
        <sz val="9"/>
        <rFont val="Calibri"/>
        <family val="2"/>
        <scheme val="minor"/>
      </rPr>
      <t xml:space="preserve">ATK </t>
    </r>
    <r>
      <rPr>
        <i/>
        <sz val="8"/>
        <rFont val="Calibri"/>
        <family val="2"/>
        <scheme val="minor"/>
      </rPr>
      <t>(Aldersrelateret Trænings Koncept)</t>
    </r>
  </si>
  <si>
    <r>
      <t xml:space="preserve">Se spor 2.3 - </t>
    </r>
    <r>
      <rPr>
        <b/>
        <i/>
        <sz val="8"/>
        <color rgb="FFFF0000"/>
        <rFont val="Calibri"/>
        <family val="2"/>
        <scheme val="minor"/>
      </rPr>
      <t>???</t>
    </r>
  </si>
  <si>
    <t>Spor 1 / Vækstprojektet i alt</t>
  </si>
  <si>
    <t>LEMAN; udg. = konto 340255</t>
  </si>
  <si>
    <t>Se indtægt; konto 150002</t>
  </si>
  <si>
    <t>Udgifter vedr. arbejdsgruppe samt materiel</t>
  </si>
  <si>
    <t>Klubudvikling; eksisterende klubber</t>
  </si>
  <si>
    <t>Spor 2.1 i alt</t>
  </si>
  <si>
    <t>Erhversaffald</t>
  </si>
  <si>
    <t>Administration mm.</t>
  </si>
  <si>
    <t>Administration mm. i alt</t>
  </si>
  <si>
    <t>Vækst Vest-DK (2014 - 2017)</t>
  </si>
  <si>
    <t>PROGNOSE
2019</t>
  </si>
  <si>
    <t>PROGNOSE
2021</t>
  </si>
  <si>
    <t>Ny konto fra 2018</t>
  </si>
  <si>
    <t>TD: 330 + Salling fond 110</t>
  </si>
  <si>
    <t>18:Dynaccount on-line regnskab</t>
  </si>
  <si>
    <t>PROGNOSE
2020
(OL-år Tokyo)</t>
  </si>
  <si>
    <t>Lønstigninger IKKE medtaget</t>
  </si>
  <si>
    <t>Spor 2.2 + 2.3 i alt</t>
  </si>
  <si>
    <t>Start 2018</t>
  </si>
  <si>
    <t>Stævnestøtte - Senior</t>
  </si>
  <si>
    <t xml:space="preserve">Lønstigninger IKKE medtaget &gt;&gt;&gt;  </t>
  </si>
  <si>
    <t xml:space="preserve">Møder, Udstyr mv. </t>
  </si>
  <si>
    <t>Egenkapital</t>
  </si>
  <si>
    <t>Salling fonden</t>
  </si>
  <si>
    <t>DFF Elite Program Budget 2018</t>
  </si>
  <si>
    <t>70% af tid på senior og program; 30% på junior og kadet</t>
  </si>
  <si>
    <t>Landstræner/ Konsulent Trænere</t>
  </si>
  <si>
    <t>60% af tid på senior og program; 40% på J&amp;K samt trænerkursus</t>
  </si>
  <si>
    <t>Kårde Konsulent Træner</t>
  </si>
  <si>
    <t>Fleuret Konsulent Træner</t>
  </si>
  <si>
    <t>Senior EM - Novi Sad, Serbia (16.-21. juni)</t>
  </si>
  <si>
    <t>Transport + indkvartering + diæter</t>
  </si>
  <si>
    <t>Rejseomkostninger, træner kårde</t>
  </si>
  <si>
    <t>Rejseomkostninger, træner fleuret</t>
  </si>
  <si>
    <t>Tilskud til transport og ophold</t>
  </si>
  <si>
    <t>Rejseomkostninger, træner 1</t>
  </si>
  <si>
    <t>Rejseomkostninger, træner 2</t>
  </si>
  <si>
    <t xml:space="preserve"> </t>
  </si>
  <si>
    <t>Kårde: WC Legnano</t>
  </si>
  <si>
    <t>Rejse/Ophold-</t>
  </si>
  <si>
    <t>Pre-season</t>
  </si>
  <si>
    <t>Seasonal Camps</t>
  </si>
  <si>
    <t>Karup træningsamling</t>
  </si>
  <si>
    <t>5 x Bruttotrup træningsamling om året</t>
  </si>
  <si>
    <t>Pre-VM</t>
  </si>
  <si>
    <t>5 x 5 dage med løn- 2.500/dag</t>
  </si>
  <si>
    <t>5 x 3 dage med løn- 2.500/dag</t>
  </si>
  <si>
    <t>(10 diæt-dage - 498 kr./dag) Ankomst 11/6 - Afrejse 17/6</t>
  </si>
  <si>
    <t>(8 diæt-dage - 498 kr./dag) Ankomst 11/6 - Afrejse 17/6</t>
  </si>
  <si>
    <r>
      <t xml:space="preserve">17:accept på </t>
    </r>
    <r>
      <rPr>
        <b/>
        <sz val="8"/>
        <rFont val="Calibri"/>
        <family val="2"/>
        <scheme val="minor"/>
      </rPr>
      <t>extra</t>
    </r>
    <r>
      <rPr>
        <sz val="8"/>
        <rFont val="Calibri"/>
        <family val="2"/>
        <scheme val="minor"/>
      </rPr>
      <t xml:space="preserve"> 50€/person</t>
    </r>
  </si>
  <si>
    <t>Materiel til videresalg incl. fragt heraf</t>
  </si>
  <si>
    <t>Ny konto/se 150007</t>
  </si>
  <si>
    <t>se 410106</t>
  </si>
  <si>
    <r>
      <t xml:space="preserve">Ferie / </t>
    </r>
    <r>
      <rPr>
        <i/>
        <sz val="8"/>
        <color rgb="FFFF0000"/>
        <rFont val="Calibri"/>
        <family val="2"/>
        <scheme val="minor"/>
      </rPr>
      <t>2018:bruge lønkonti som modpost</t>
    </r>
  </si>
  <si>
    <t>Estimat
REST 2018</t>
  </si>
  <si>
    <r>
      <t>Realiseret
2018
xx</t>
    </r>
    <r>
      <rPr>
        <b/>
        <i/>
        <sz val="8"/>
        <color theme="1"/>
        <rFont val="Calibri"/>
        <family val="2"/>
        <scheme val="minor"/>
      </rPr>
      <t>/yy-18</t>
    </r>
  </si>
  <si>
    <t xml:space="preserve"> Løn (Sportschef, Landstræner m.fl.)</t>
  </si>
  <si>
    <t>Stævneophold - 2018 &gt; J&amp;K + senior</t>
  </si>
  <si>
    <r>
      <t xml:space="preserve">hotel
</t>
    </r>
    <r>
      <rPr>
        <i/>
        <sz val="9"/>
        <rFont val="Calibri"/>
        <family val="2"/>
        <scheme val="minor"/>
      </rPr>
      <t>9 dage</t>
    </r>
  </si>
  <si>
    <t>Shuttle bus</t>
  </si>
  <si>
    <t>EM &amp; VM</t>
  </si>
  <si>
    <t>CDD, rejser</t>
  </si>
  <si>
    <t xml:space="preserve">CDD, indkvartering </t>
  </si>
  <si>
    <t>CDD, diæter</t>
  </si>
  <si>
    <t>excl. Elite-projekt pga. J&amp;K</t>
  </si>
  <si>
    <r>
      <t xml:space="preserve">Omkostninger (CDD) </t>
    </r>
    <r>
      <rPr>
        <b/>
        <i/>
        <sz val="9"/>
        <rFont val="Calibri"/>
        <family val="2"/>
        <scheme val="minor"/>
      </rPr>
      <t>Kadet og Junior</t>
    </r>
  </si>
  <si>
    <t xml:space="preserve">World Cup Holddeltagelse </t>
  </si>
  <si>
    <t>Senior EM; individuel &amp; hold</t>
  </si>
  <si>
    <t>Senior VM; individuel &amp; hold</t>
  </si>
  <si>
    <t>Løn - Sporschef</t>
  </si>
  <si>
    <t>Løn til landstrænere</t>
  </si>
  <si>
    <t>Ad hoc træner kårde/fleuret</t>
  </si>
  <si>
    <t>(2017: sportschef &amp; træner)</t>
  </si>
  <si>
    <t>Link</t>
  </si>
  <si>
    <t>Træningslejre</t>
  </si>
  <si>
    <t>incl. DIF-kurser</t>
  </si>
  <si>
    <t>DIF: Viderefaktureres 1:1</t>
  </si>
  <si>
    <t>Transport/ophold projekt/-udv.konsuslenter</t>
  </si>
  <si>
    <t>Omfordelt 4x35K: år &gt; &lt; år</t>
  </si>
  <si>
    <t xml:space="preserve">Realiseret
2017
</t>
  </si>
  <si>
    <t>Diverse indtægter + bladindtægter</t>
  </si>
  <si>
    <t>ny pc</t>
  </si>
  <si>
    <t>Træner-/dommerkursus- deltagerbetaling</t>
  </si>
  <si>
    <t>+DFF</t>
  </si>
  <si>
    <t>Salg/Avance af licencer - FIE + ECF + DFF</t>
  </si>
  <si>
    <t>Realiseret + årsestimat
2018</t>
  </si>
  <si>
    <t>DFF Sommerlejr 2018</t>
  </si>
  <si>
    <t>Samlet antal deltagere</t>
  </si>
  <si>
    <t>Antal betalende danske deltagere (Early bird)</t>
  </si>
  <si>
    <t>&gt;&gt;&gt;&gt;&gt;&gt;&gt;&gt;&gt;&gt;&gt;&gt;&gt;&gt;&gt;&gt;&gt;&gt;&gt;&gt;&gt;&gt;&gt;&gt;&gt;&gt;&gt;&gt;&gt;&gt;&gt;&gt;&gt;&gt;&gt;&gt;</t>
  </si>
  <si>
    <t>Antal betalende danske deltagere (normal pris)</t>
  </si>
  <si>
    <t>Antal betalende udenlandske deltagere</t>
  </si>
  <si>
    <t>Antal gratis deltagere</t>
  </si>
  <si>
    <t>Balance</t>
  </si>
  <si>
    <t>Ændring</t>
  </si>
  <si>
    <t>Indtægt slikbod</t>
  </si>
  <si>
    <t>Samlet antal afviklere</t>
  </si>
  <si>
    <t>Ekstraordinært lønnede trænere</t>
  </si>
  <si>
    <t>Ordinært lønnede trænere</t>
  </si>
  <si>
    <t>*</t>
  </si>
  <si>
    <t>**</t>
  </si>
  <si>
    <t>***</t>
  </si>
  <si>
    <t>****</t>
  </si>
  <si>
    <t>Estimeret pris pr. person</t>
  </si>
  <si>
    <t>* bygges ind i slikbod</t>
  </si>
  <si>
    <t>Særlige godtgørelser</t>
  </si>
  <si>
    <t>Forbrugsting (print, tape, plaster isposer, osv.)</t>
  </si>
  <si>
    <t>Træneraftner (Mads E)</t>
  </si>
  <si>
    <t>Træneraftner (Vandrehjem)</t>
  </si>
  <si>
    <t>Udgift slikbod (køb af slik)</t>
  </si>
  <si>
    <t xml:space="preserve">I alt </t>
  </si>
  <si>
    <t>DKK</t>
  </si>
  <si>
    <t>Billetpris (Udenlands) EURO</t>
  </si>
  <si>
    <t>EURO</t>
  </si>
  <si>
    <r>
      <rPr>
        <sz val="11"/>
        <color theme="1"/>
        <rFont val="Calibri"/>
        <family val="2"/>
      </rPr>
      <t xml:space="preserve">↓ </t>
    </r>
    <r>
      <rPr>
        <sz val="11"/>
        <color theme="1"/>
        <rFont val="Calibri"/>
        <family val="2"/>
        <scheme val="minor"/>
      </rPr>
      <t>kurs ↓</t>
    </r>
  </si>
  <si>
    <t>Billetpris (Udenlands) DKK</t>
  </si>
  <si>
    <t>Se spor 2.1</t>
  </si>
  <si>
    <t>Senior VM - Wuxi, China (20. - 27- juli)</t>
  </si>
  <si>
    <t>Startgebyr - individuel (55 € pr. person)</t>
  </si>
  <si>
    <t>Startgebyr - Kårdehold (140 € pr. hold)</t>
  </si>
  <si>
    <t>Startgebyr - Fleurethold (140 € pr. hold)</t>
  </si>
  <si>
    <t>Dommergebyr (70 € pr. person)</t>
  </si>
  <si>
    <t>Individuel; J&amp;J + Senior</t>
  </si>
  <si>
    <t>DIF-tilskud Grundtilskud</t>
  </si>
  <si>
    <t>Salg af udstyr og fragt samt merchandice</t>
  </si>
  <si>
    <t>Budgetteret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</si>
</sst>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kr.&quot;\ #,##0;[Red]&quot;kr.&quot;\ \-#,##0"/>
    <numFmt numFmtId="164" formatCode="#,##0\ [$€-1];[Red]\-#,##0\ [$€-1]"/>
    <numFmt numFmtId="165" formatCode="0.0%"/>
    <numFmt numFmtId="166" formatCode="#,##0.00000"/>
    <numFmt numFmtId="167" formatCode="#,##0_ ;[Red]\-#,##0\ "/>
  </numFmts>
  <fonts count="7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0000"/>
      <name val="DIF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6" tint="0.59999389629810485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i/>
      <sz val="8"/>
      <color rgb="FFFF33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3" tint="-0.249977111117893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8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7CF09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double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auto="1"/>
      </right>
      <top/>
      <bottom style="thin">
        <color indexed="64"/>
      </bottom>
      <diagonal/>
    </border>
    <border>
      <left style="mediumDashed">
        <color indexed="64"/>
      </left>
      <right style="mediumDashed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9" fillId="0" borderId="0" applyNumberFormat="0" applyFill="0" applyBorder="0" applyAlignment="0" applyProtection="0"/>
  </cellStyleXfs>
  <cellXfs count="58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3" fontId="0" fillId="0" borderId="0" xfId="0" applyNumberFormat="1"/>
    <xf numFmtId="0" fontId="10" fillId="0" borderId="0" xfId="0" applyFont="1" applyAlignment="1">
      <alignment vertical="top" wrapText="1"/>
    </xf>
    <xf numFmtId="0" fontId="11" fillId="0" borderId="0" xfId="0" applyFont="1" applyFill="1"/>
    <xf numFmtId="0" fontId="10" fillId="0" borderId="0" xfId="0" applyFont="1"/>
    <xf numFmtId="0" fontId="11" fillId="4" borderId="0" xfId="0" applyFont="1" applyFill="1"/>
    <xf numFmtId="0" fontId="10" fillId="0" borderId="0" xfId="0" applyFont="1" applyFill="1"/>
    <xf numFmtId="0" fontId="10" fillId="4" borderId="0" xfId="0" applyFont="1" applyFill="1"/>
    <xf numFmtId="0" fontId="11" fillId="0" borderId="0" xfId="0" applyFont="1"/>
    <xf numFmtId="0" fontId="10" fillId="5" borderId="0" xfId="0" applyFont="1" applyFill="1"/>
    <xf numFmtId="4" fontId="0" fillId="0" borderId="0" xfId="0" applyNumberFormat="1"/>
    <xf numFmtId="3" fontId="0" fillId="0" borderId="0" xfId="0" applyNumberFormat="1" applyFill="1"/>
    <xf numFmtId="4" fontId="0" fillId="0" borderId="0" xfId="0" applyNumberFormat="1" applyFill="1"/>
    <xf numFmtId="4" fontId="1" fillId="0" borderId="0" xfId="0" applyNumberFormat="1" applyFont="1"/>
    <xf numFmtId="0" fontId="0" fillId="0" borderId="0" xfId="0" applyFill="1"/>
    <xf numFmtId="0" fontId="14" fillId="0" borderId="0" xfId="0" applyFont="1"/>
    <xf numFmtId="0" fontId="14" fillId="0" borderId="0" xfId="0" applyFont="1" applyFill="1"/>
    <xf numFmtId="0" fontId="16" fillId="0" borderId="0" xfId="0" applyFont="1"/>
    <xf numFmtId="3" fontId="17" fillId="0" borderId="0" xfId="0" applyNumberFormat="1" applyFont="1"/>
    <xf numFmtId="0" fontId="17" fillId="0" borderId="0" xfId="0" applyFont="1"/>
    <xf numFmtId="0" fontId="19" fillId="0" borderId="0" xfId="0" applyFont="1"/>
    <xf numFmtId="3" fontId="19" fillId="0" borderId="0" xfId="0" applyNumberFormat="1" applyFont="1"/>
    <xf numFmtId="4" fontId="19" fillId="0" borderId="0" xfId="0" applyNumberFormat="1" applyFont="1"/>
    <xf numFmtId="4" fontId="17" fillId="0" borderId="0" xfId="0" applyNumberFormat="1" applyFont="1"/>
    <xf numFmtId="3" fontId="20" fillId="0" borderId="0" xfId="0" applyNumberFormat="1" applyFont="1"/>
    <xf numFmtId="0" fontId="21" fillId="0" borderId="0" xfId="0" applyFont="1"/>
    <xf numFmtId="0" fontId="11" fillId="6" borderId="0" xfId="0" applyFont="1" applyFill="1"/>
    <xf numFmtId="0" fontId="8" fillId="0" borderId="0" xfId="0" applyFont="1" applyFill="1"/>
    <xf numFmtId="0" fontId="11" fillId="9" borderId="0" xfId="0" applyFont="1" applyFill="1"/>
    <xf numFmtId="0" fontId="11" fillId="10" borderId="0" xfId="0" applyFont="1" applyFill="1"/>
    <xf numFmtId="164" fontId="21" fillId="0" borderId="0" xfId="0" applyNumberFormat="1" applyFont="1" applyAlignment="1">
      <alignment horizontal="left"/>
    </xf>
    <xf numFmtId="0" fontId="0" fillId="0" borderId="0" xfId="0" applyBorder="1"/>
    <xf numFmtId="0" fontId="27" fillId="7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1" fillId="2" borderId="0" xfId="0" applyFont="1" applyFill="1"/>
    <xf numFmtId="0" fontId="2" fillId="2" borderId="0" xfId="0" applyFont="1" applyFill="1"/>
    <xf numFmtId="0" fontId="11" fillId="0" borderId="0" xfId="0" applyFont="1" applyFill="1" applyBorder="1"/>
    <xf numFmtId="0" fontId="5" fillId="13" borderId="0" xfId="0" applyFont="1" applyFill="1" applyAlignment="1">
      <alignment horizontal="right"/>
    </xf>
    <xf numFmtId="0" fontId="10" fillId="13" borderId="0" xfId="0" applyFont="1" applyFill="1"/>
    <xf numFmtId="0" fontId="21" fillId="0" borderId="0" xfId="0" applyFont="1" applyFill="1"/>
    <xf numFmtId="0" fontId="21" fillId="0" borderId="0" xfId="0" applyFont="1" applyAlignment="1">
      <alignment vertical="top"/>
    </xf>
    <xf numFmtId="0" fontId="29" fillId="0" borderId="0" xfId="0" applyFont="1" applyFill="1"/>
    <xf numFmtId="0" fontId="10" fillId="14" borderId="0" xfId="0" applyFont="1" applyFill="1"/>
    <xf numFmtId="0" fontId="10" fillId="0" borderId="0" xfId="0" applyFont="1" applyFill="1" applyBorder="1"/>
    <xf numFmtId="0" fontId="28" fillId="0" borderId="0" xfId="0" applyFont="1"/>
    <xf numFmtId="3" fontId="22" fillId="0" borderId="0" xfId="0" applyNumberFormat="1" applyFont="1" applyFill="1"/>
    <xf numFmtId="0" fontId="23" fillId="2" borderId="0" xfId="0" applyFont="1" applyFill="1" applyAlignment="1">
      <alignment horizontal="right"/>
    </xf>
    <xf numFmtId="0" fontId="10" fillId="8" borderId="0" xfId="0" applyFont="1" applyFill="1"/>
    <xf numFmtId="0" fontId="10" fillId="12" borderId="0" xfId="0" applyFont="1" applyFill="1"/>
    <xf numFmtId="0" fontId="11" fillId="12" borderId="1" xfId="0" applyFont="1" applyFill="1" applyBorder="1"/>
    <xf numFmtId="0" fontId="11" fillId="3" borderId="0" xfId="0" applyFont="1" applyFill="1"/>
    <xf numFmtId="0" fontId="11" fillId="5" borderId="0" xfId="0" applyFont="1" applyFill="1"/>
    <xf numFmtId="0" fontId="31" fillId="15" borderId="0" xfId="0" applyFont="1" applyFill="1"/>
    <xf numFmtId="0" fontId="10" fillId="11" borderId="0" xfId="0" applyFont="1" applyFill="1"/>
    <xf numFmtId="0" fontId="11" fillId="16" borderId="0" xfId="0" applyFont="1" applyFill="1"/>
    <xf numFmtId="0" fontId="30" fillId="0" borderId="0" xfId="0" applyFont="1" applyFill="1"/>
    <xf numFmtId="0" fontId="32" fillId="0" borderId="0" xfId="0" applyFont="1" applyFill="1"/>
    <xf numFmtId="0" fontId="32" fillId="2" borderId="0" xfId="0" applyFont="1" applyFill="1"/>
    <xf numFmtId="0" fontId="33" fillId="0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26" fillId="2" borderId="0" xfId="0" applyFont="1" applyFill="1" applyAlignment="1">
      <alignment horizontal="right"/>
    </xf>
    <xf numFmtId="0" fontId="4" fillId="0" borderId="0" xfId="0" applyFont="1" applyFill="1" applyBorder="1"/>
    <xf numFmtId="0" fontId="21" fillId="0" borderId="0" xfId="0" applyFont="1" applyAlignment="1">
      <alignment wrapText="1"/>
    </xf>
    <xf numFmtId="3" fontId="3" fillId="0" borderId="0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9" fillId="2" borderId="0" xfId="0" applyFont="1" applyFill="1" applyAlignment="1">
      <alignment horizontal="center" vertical="top" wrapText="1"/>
    </xf>
    <xf numFmtId="0" fontId="35" fillId="0" borderId="0" xfId="0" applyFont="1" applyFill="1"/>
    <xf numFmtId="0" fontId="24" fillId="0" borderId="0" xfId="0" applyFont="1" applyFill="1"/>
    <xf numFmtId="0" fontId="36" fillId="17" borderId="0" xfId="0" applyFont="1" applyFill="1"/>
    <xf numFmtId="0" fontId="36" fillId="0" borderId="0" xfId="0" applyFont="1" applyFill="1"/>
    <xf numFmtId="0" fontId="32" fillId="17" borderId="0" xfId="0" applyFont="1" applyFill="1"/>
    <xf numFmtId="3" fontId="22" fillId="17" borderId="0" xfId="0" applyNumberFormat="1" applyFont="1" applyFill="1"/>
    <xf numFmtId="0" fontId="38" fillId="17" borderId="0" xfId="0" applyFont="1" applyFill="1" applyAlignment="1">
      <alignment horizontal="left"/>
    </xf>
    <xf numFmtId="0" fontId="38" fillId="17" borderId="0" xfId="0" applyFont="1" applyFill="1"/>
    <xf numFmtId="0" fontId="28" fillId="0" borderId="0" xfId="0" applyFont="1" applyFill="1"/>
    <xf numFmtId="3" fontId="28" fillId="0" borderId="0" xfId="0" applyNumberFormat="1" applyFont="1" applyBorder="1"/>
    <xf numFmtId="0" fontId="21" fillId="0" borderId="0" xfId="0" applyFont="1" applyFill="1" applyAlignment="1">
      <alignment vertical="center"/>
    </xf>
    <xf numFmtId="2" fontId="0" fillId="0" borderId="0" xfId="0" applyNumberFormat="1" applyFill="1"/>
    <xf numFmtId="0" fontId="13" fillId="0" borderId="0" xfId="0" applyFont="1" applyFill="1"/>
    <xf numFmtId="0" fontId="37" fillId="0" borderId="0" xfId="0" applyFont="1" applyFill="1"/>
    <xf numFmtId="1" fontId="2" fillId="0" borderId="0" xfId="0" applyNumberFormat="1" applyFont="1" applyFill="1"/>
    <xf numFmtId="3" fontId="16" fillId="0" borderId="0" xfId="0" applyNumberFormat="1" applyFont="1" applyFill="1"/>
    <xf numFmtId="0" fontId="19" fillId="0" borderId="0" xfId="0" applyFont="1" applyFill="1"/>
    <xf numFmtId="0" fontId="17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3" fontId="14" fillId="0" borderId="0" xfId="0" applyNumberFormat="1" applyFont="1" applyFill="1"/>
    <xf numFmtId="0" fontId="15" fillId="0" borderId="0" xfId="0" applyFont="1" applyFill="1"/>
    <xf numFmtId="6" fontId="18" fillId="0" borderId="0" xfId="0" applyNumberFormat="1" applyFont="1" applyFill="1" applyAlignment="1">
      <alignment horizontal="justify" vertical="center" wrapText="1"/>
    </xf>
    <xf numFmtId="4" fontId="12" fillId="0" borderId="0" xfId="0" applyNumberFormat="1" applyFont="1" applyFill="1"/>
    <xf numFmtId="3" fontId="12" fillId="0" borderId="0" xfId="0" applyNumberFormat="1" applyFont="1" applyFill="1"/>
    <xf numFmtId="0" fontId="43" fillId="0" borderId="0" xfId="0" applyFont="1" applyFill="1"/>
    <xf numFmtId="4" fontId="0" fillId="21" borderId="7" xfId="0" applyNumberFormat="1" applyFill="1" applyBorder="1"/>
    <xf numFmtId="0" fontId="2" fillId="21" borderId="8" xfId="0" applyFont="1" applyFill="1" applyBorder="1"/>
    <xf numFmtId="0" fontId="28" fillId="0" borderId="0" xfId="0" applyFont="1" applyFill="1" applyAlignment="1">
      <alignment horizontal="center"/>
    </xf>
    <xf numFmtId="0" fontId="42" fillId="7" borderId="0" xfId="0" applyFont="1" applyFill="1"/>
    <xf numFmtId="0" fontId="21" fillId="0" borderId="0" xfId="0" applyFont="1" applyFill="1" applyAlignment="1">
      <alignment horizontal="right"/>
    </xf>
    <xf numFmtId="0" fontId="7" fillId="21" borderId="0" xfId="0" applyFont="1" applyFill="1"/>
    <xf numFmtId="0" fontId="45" fillId="21" borderId="0" xfId="0" applyFont="1" applyFill="1"/>
    <xf numFmtId="0" fontId="21" fillId="21" borderId="9" xfId="0" applyFont="1" applyFill="1" applyBorder="1"/>
    <xf numFmtId="0" fontId="21" fillId="21" borderId="0" xfId="0" applyFont="1" applyFill="1" applyBorder="1"/>
    <xf numFmtId="3" fontId="21" fillId="21" borderId="0" xfId="0" applyNumberFormat="1" applyFont="1" applyFill="1" applyBorder="1"/>
    <xf numFmtId="3" fontId="21" fillId="21" borderId="10" xfId="0" applyNumberFormat="1" applyFont="1" applyFill="1" applyBorder="1"/>
    <xf numFmtId="3" fontId="24" fillId="21" borderId="3" xfId="0" applyNumberFormat="1" applyFont="1" applyFill="1" applyBorder="1"/>
    <xf numFmtId="3" fontId="24" fillId="21" borderId="4" xfId="0" applyNumberFormat="1" applyFont="1" applyFill="1" applyBorder="1"/>
    <xf numFmtId="0" fontId="21" fillId="21" borderId="11" xfId="0" applyFont="1" applyFill="1" applyBorder="1"/>
    <xf numFmtId="0" fontId="21" fillId="21" borderId="1" xfId="0" applyFont="1" applyFill="1" applyBorder="1"/>
    <xf numFmtId="3" fontId="21" fillId="21" borderId="1" xfId="0" applyNumberFormat="1" applyFont="1" applyFill="1" applyBorder="1"/>
    <xf numFmtId="3" fontId="21" fillId="21" borderId="12" xfId="0" applyNumberFormat="1" applyFont="1" applyFill="1" applyBorder="1"/>
    <xf numFmtId="3" fontId="24" fillId="21" borderId="5" xfId="0" applyNumberFormat="1" applyFont="1" applyFill="1" applyBorder="1"/>
    <xf numFmtId="4" fontId="39" fillId="21" borderId="6" xfId="0" applyNumberFormat="1" applyFont="1" applyFill="1" applyBorder="1"/>
    <xf numFmtId="4" fontId="21" fillId="21" borderId="11" xfId="0" applyNumberFormat="1" applyFont="1" applyFill="1" applyBorder="1"/>
    <xf numFmtId="4" fontId="21" fillId="21" borderId="1" xfId="0" applyNumberFormat="1" applyFont="1" applyFill="1" applyBorder="1"/>
    <xf numFmtId="0" fontId="21" fillId="21" borderId="1" xfId="0" applyFont="1" applyFill="1" applyBorder="1" applyAlignment="1">
      <alignment horizontal="right"/>
    </xf>
    <xf numFmtId="0" fontId="21" fillId="21" borderId="12" xfId="0" applyFont="1" applyFill="1" applyBorder="1" applyAlignment="1">
      <alignment horizontal="right"/>
    </xf>
    <xf numFmtId="0" fontId="29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4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 indent="1"/>
    </xf>
    <xf numFmtId="0" fontId="47" fillId="0" borderId="0" xfId="0" applyFont="1" applyFill="1" applyAlignment="1">
      <alignment horizontal="right"/>
    </xf>
    <xf numFmtId="0" fontId="21" fillId="13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21" fillId="0" borderId="0" xfId="0" applyFont="1" applyFill="1" applyBorder="1"/>
    <xf numFmtId="3" fontId="21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4" fontId="22" fillId="0" borderId="0" xfId="0" applyNumberFormat="1" applyFont="1" applyFill="1" applyBorder="1"/>
    <xf numFmtId="4" fontId="28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/>
    <xf numFmtId="3" fontId="28" fillId="0" borderId="0" xfId="0" applyNumberFormat="1" applyFont="1" applyFill="1" applyBorder="1"/>
    <xf numFmtId="4" fontId="32" fillId="0" borderId="0" xfId="0" applyNumberFormat="1" applyFont="1" applyFill="1" applyBorder="1"/>
    <xf numFmtId="0" fontId="46" fillId="20" borderId="0" xfId="0" applyFont="1" applyFill="1"/>
    <xf numFmtId="0" fontId="34" fillId="20" borderId="0" xfId="0" applyFont="1" applyFill="1" applyAlignment="1">
      <alignment horizontal="right"/>
    </xf>
    <xf numFmtId="0" fontId="46" fillId="20" borderId="0" xfId="0" applyFont="1" applyFill="1" applyAlignment="1">
      <alignment horizontal="right"/>
    </xf>
    <xf numFmtId="0" fontId="36" fillId="18" borderId="0" xfId="0" applyFont="1" applyFill="1"/>
    <xf numFmtId="0" fontId="4" fillId="18" borderId="0" xfId="0" applyFont="1" applyFill="1"/>
    <xf numFmtId="0" fontId="32" fillId="18" borderId="0" xfId="0" applyFont="1" applyFill="1"/>
    <xf numFmtId="0" fontId="48" fillId="7" borderId="0" xfId="0" applyFont="1" applyFill="1"/>
    <xf numFmtId="0" fontId="40" fillId="18" borderId="0" xfId="0" applyFont="1" applyFill="1"/>
    <xf numFmtId="0" fontId="32" fillId="0" borderId="0" xfId="0" applyFont="1" applyFill="1" applyAlignment="1">
      <alignment horizontal="left"/>
    </xf>
    <xf numFmtId="0" fontId="21" fillId="0" borderId="0" xfId="0" applyFont="1" applyAlignment="1">
      <alignment vertical="top" wrapText="1"/>
    </xf>
    <xf numFmtId="0" fontId="29" fillId="4" borderId="0" xfId="0" applyFont="1" applyFill="1"/>
    <xf numFmtId="0" fontId="49" fillId="0" borderId="0" xfId="0" applyFont="1"/>
    <xf numFmtId="0" fontId="21" fillId="4" borderId="0" xfId="0" applyFont="1" applyFill="1"/>
    <xf numFmtId="0" fontId="29" fillId="12" borderId="1" xfId="0" applyFont="1" applyFill="1" applyBorder="1"/>
    <xf numFmtId="0" fontId="21" fillId="3" borderId="0" xfId="0" applyFont="1" applyFill="1"/>
    <xf numFmtId="0" fontId="49" fillId="18" borderId="0" xfId="0" applyFont="1" applyFill="1"/>
    <xf numFmtId="0" fontId="21" fillId="5" borderId="0" xfId="0" applyFont="1" applyFill="1"/>
    <xf numFmtId="0" fontId="38" fillId="18" borderId="0" xfId="0" applyFont="1" applyFill="1"/>
    <xf numFmtId="0" fontId="50" fillId="15" borderId="0" xfId="0" applyFont="1" applyFill="1"/>
    <xf numFmtId="0" fontId="47" fillId="0" borderId="0" xfId="0" applyFont="1" applyFill="1"/>
    <xf numFmtId="0" fontId="28" fillId="18" borderId="0" xfId="0" applyFont="1" applyFill="1"/>
    <xf numFmtId="0" fontId="28" fillId="2" borderId="0" xfId="0" applyFont="1" applyFill="1"/>
    <xf numFmtId="0" fontId="28" fillId="17" borderId="0" xfId="0" applyFont="1" applyFill="1"/>
    <xf numFmtId="3" fontId="28" fillId="0" borderId="0" xfId="0" applyNumberFormat="1" applyFont="1" applyFill="1"/>
    <xf numFmtId="3" fontId="28" fillId="17" borderId="0" xfId="0" applyNumberFormat="1" applyFont="1" applyFill="1"/>
    <xf numFmtId="3" fontId="28" fillId="0" borderId="0" xfId="0" applyNumberFormat="1" applyFont="1" applyFill="1" applyAlignment="1">
      <alignment horizontal="right"/>
    </xf>
    <xf numFmtId="4" fontId="28" fillId="18" borderId="0" xfId="0" applyNumberFormat="1" applyFont="1" applyFill="1"/>
    <xf numFmtId="4" fontId="28" fillId="0" borderId="0" xfId="0" applyNumberFormat="1" applyFont="1" applyFill="1"/>
    <xf numFmtId="0" fontId="45" fillId="0" borderId="0" xfId="0" applyFont="1" applyFill="1" applyAlignment="1">
      <alignment horizontal="center"/>
    </xf>
    <xf numFmtId="0" fontId="21" fillId="10" borderId="0" xfId="0" applyFont="1" applyFill="1"/>
    <xf numFmtId="0" fontId="21" fillId="9" borderId="0" xfId="0" applyFont="1" applyFill="1"/>
    <xf numFmtId="0" fontId="29" fillId="0" borderId="0" xfId="0" applyFont="1" applyFill="1" applyAlignment="1">
      <alignment horizontal="right" vertical="center" wrapText="1"/>
    </xf>
    <xf numFmtId="0" fontId="21" fillId="6" borderId="0" xfId="0" applyFont="1" applyFill="1"/>
    <xf numFmtId="0" fontId="29" fillId="16" borderId="0" xfId="0" applyFont="1" applyFill="1"/>
    <xf numFmtId="0" fontId="51" fillId="8" borderId="0" xfId="0" applyFont="1" applyFill="1"/>
    <xf numFmtId="0" fontId="28" fillId="0" borderId="0" xfId="0" applyFont="1" applyFill="1" applyAlignment="1">
      <alignment horizontal="left"/>
    </xf>
    <xf numFmtId="0" fontId="21" fillId="14" borderId="0" xfId="0" applyFont="1" applyFill="1"/>
    <xf numFmtId="0" fontId="28" fillId="11" borderId="0" xfId="0" applyFont="1" applyFill="1"/>
    <xf numFmtId="0" fontId="29" fillId="0" borderId="0" xfId="0" applyFont="1" applyFill="1" applyBorder="1"/>
    <xf numFmtId="0" fontId="28" fillId="0" borderId="0" xfId="0" applyFont="1" applyFill="1" applyBorder="1" applyAlignment="1">
      <alignment wrapText="1"/>
    </xf>
    <xf numFmtId="3" fontId="21" fillId="0" borderId="0" xfId="0" applyNumberFormat="1" applyFont="1" applyBorder="1"/>
    <xf numFmtId="0" fontId="21" fillId="12" borderId="0" xfId="0" applyFont="1" applyFill="1"/>
    <xf numFmtId="0" fontId="21" fillId="13" borderId="0" xfId="0" applyFont="1" applyFill="1"/>
    <xf numFmtId="0" fontId="52" fillId="0" borderId="0" xfId="0" applyFont="1" applyFill="1" applyAlignment="1">
      <alignment horizontal="right"/>
    </xf>
    <xf numFmtId="0" fontId="10" fillId="0" borderId="0" xfId="0" applyFont="1" applyAlignment="1">
      <alignment vertical="top"/>
    </xf>
    <xf numFmtId="0" fontId="32" fillId="0" borderId="0" xfId="0" applyFont="1"/>
    <xf numFmtId="0" fontId="41" fillId="12" borderId="1" xfId="0" applyFont="1" applyFill="1" applyBorder="1" applyAlignment="1">
      <alignment horizontal="left"/>
    </xf>
    <xf numFmtId="0" fontId="40" fillId="0" borderId="0" xfId="0" applyFont="1" applyFill="1"/>
    <xf numFmtId="0" fontId="53" fillId="15" borderId="0" xfId="0" applyFont="1" applyFill="1"/>
    <xf numFmtId="0" fontId="35" fillId="20" borderId="0" xfId="0" applyFont="1" applyFill="1"/>
    <xf numFmtId="0" fontId="30" fillId="9" borderId="0" xfId="0" applyFont="1" applyFill="1"/>
    <xf numFmtId="0" fontId="11" fillId="8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11" fillId="14" borderId="0" xfId="0" applyFont="1" applyFill="1"/>
    <xf numFmtId="0" fontId="11" fillId="11" borderId="0" xfId="0" applyFont="1" applyFill="1"/>
    <xf numFmtId="0" fontId="30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indent="1"/>
    </xf>
    <xf numFmtId="0" fontId="30" fillId="0" borderId="0" xfId="0" applyFont="1" applyBorder="1"/>
    <xf numFmtId="0" fontId="4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29" fillId="18" borderId="0" xfId="0" applyFont="1" applyFill="1" applyAlignment="1">
      <alignment horizontal="right" vertical="top" wrapText="1"/>
    </xf>
    <xf numFmtId="3" fontId="50" fillId="7" borderId="0" xfId="0" applyNumberFormat="1" applyFont="1" applyFill="1"/>
    <xf numFmtId="3" fontId="21" fillId="0" borderId="0" xfId="0" applyNumberFormat="1" applyFont="1"/>
    <xf numFmtId="3" fontId="29" fillId="18" borderId="0" xfId="0" applyNumberFormat="1" applyFont="1" applyFill="1"/>
    <xf numFmtId="3" fontId="21" fillId="0" borderId="0" xfId="0" applyNumberFormat="1" applyFont="1" applyFill="1"/>
    <xf numFmtId="3" fontId="21" fillId="0" borderId="1" xfId="0" applyNumberFormat="1" applyFont="1" applyBorder="1"/>
    <xf numFmtId="3" fontId="21" fillId="0" borderId="1" xfId="0" applyNumberFormat="1" applyFont="1" applyFill="1" applyBorder="1"/>
    <xf numFmtId="3" fontId="29" fillId="0" borderId="0" xfId="0" applyNumberFormat="1" applyFont="1"/>
    <xf numFmtId="3" fontId="21" fillId="18" borderId="0" xfId="0" applyNumberFormat="1" applyFont="1" applyFill="1"/>
    <xf numFmtId="3" fontId="21" fillId="18" borderId="1" xfId="0" applyNumberFormat="1" applyFont="1" applyFill="1" applyBorder="1"/>
    <xf numFmtId="3" fontId="49" fillId="18" borderId="0" xfId="0" applyNumberFormat="1" applyFont="1" applyFill="1"/>
    <xf numFmtId="3" fontId="49" fillId="17" borderId="1" xfId="0" applyNumberFormat="1" applyFont="1" applyFill="1" applyBorder="1"/>
    <xf numFmtId="3" fontId="29" fillId="0" borderId="0" xfId="0" applyNumberFormat="1" applyFont="1" applyFill="1"/>
    <xf numFmtId="3" fontId="49" fillId="17" borderId="0" xfId="0" applyNumberFormat="1" applyFont="1" applyFill="1"/>
    <xf numFmtId="3" fontId="28" fillId="18" borderId="1" xfId="0" applyNumberFormat="1" applyFont="1" applyFill="1" applyBorder="1"/>
    <xf numFmtId="3" fontId="38" fillId="18" borderId="0" xfId="0" applyNumberFormat="1" applyFont="1" applyFill="1"/>
    <xf numFmtId="3" fontId="54" fillId="18" borderId="0" xfId="0" applyNumberFormat="1" applyFont="1" applyFill="1"/>
    <xf numFmtId="3" fontId="54" fillId="18" borderId="0" xfId="0" applyNumberFormat="1" applyFont="1" applyFill="1" applyAlignment="1">
      <alignment horizontal="right" vertical="center"/>
    </xf>
    <xf numFmtId="3" fontId="49" fillId="18" borderId="0" xfId="0" applyNumberFormat="1" applyFont="1" applyFill="1" applyBorder="1"/>
    <xf numFmtId="3" fontId="49" fillId="18" borderId="1" xfId="0" applyNumberFormat="1" applyFont="1" applyFill="1" applyBorder="1"/>
    <xf numFmtId="3" fontId="55" fillId="18" borderId="0" xfId="0" applyNumberFormat="1" applyFont="1" applyFill="1" applyBorder="1"/>
    <xf numFmtId="3" fontId="21" fillId="18" borderId="0" xfId="0" applyNumberFormat="1" applyFont="1" applyFill="1" applyBorder="1"/>
    <xf numFmtId="4" fontId="29" fillId="18" borderId="0" xfId="0" applyNumberFormat="1" applyFont="1" applyFill="1" applyBorder="1"/>
    <xf numFmtId="3" fontId="29" fillId="18" borderId="0" xfId="0" applyNumberFormat="1" applyFont="1" applyFill="1" applyBorder="1"/>
    <xf numFmtId="3" fontId="29" fillId="12" borderId="0" xfId="0" applyNumberFormat="1" applyFont="1" applyFill="1"/>
    <xf numFmtId="3" fontId="21" fillId="13" borderId="0" xfId="0" applyNumberFormat="1" applyFont="1" applyFill="1"/>
    <xf numFmtId="3" fontId="47" fillId="0" borderId="0" xfId="0" applyNumberFormat="1" applyFont="1" applyFill="1"/>
    <xf numFmtId="3" fontId="28" fillId="18" borderId="0" xfId="0" applyNumberFormat="1" applyFont="1" applyFill="1"/>
    <xf numFmtId="3" fontId="47" fillId="0" borderId="2" xfId="0" applyNumberFormat="1" applyFont="1" applyFill="1" applyBorder="1"/>
    <xf numFmtId="0" fontId="29" fillId="17" borderId="0" xfId="0" applyFont="1" applyFill="1" applyAlignment="1">
      <alignment horizontal="center" vertical="top" wrapText="1"/>
    </xf>
    <xf numFmtId="0" fontId="50" fillId="7" borderId="0" xfId="0" applyFont="1" applyFill="1"/>
    <xf numFmtId="3" fontId="29" fillId="17" borderId="0" xfId="0" applyNumberFormat="1" applyFont="1" applyFill="1"/>
    <xf numFmtId="3" fontId="29" fillId="19" borderId="0" xfId="0" applyNumberFormat="1" applyFont="1" applyFill="1"/>
    <xf numFmtId="3" fontId="21" fillId="17" borderId="0" xfId="0" applyNumberFormat="1" applyFont="1" applyFill="1"/>
    <xf numFmtId="3" fontId="21" fillId="17" borderId="1" xfId="0" applyNumberFormat="1" applyFont="1" applyFill="1" applyBorder="1"/>
    <xf numFmtId="3" fontId="21" fillId="19" borderId="0" xfId="0" applyNumberFormat="1" applyFont="1" applyFill="1"/>
    <xf numFmtId="3" fontId="21" fillId="19" borderId="1" xfId="0" applyNumberFormat="1" applyFont="1" applyFill="1" applyBorder="1"/>
    <xf numFmtId="3" fontId="28" fillId="17" borderId="1" xfId="0" applyNumberFormat="1" applyFont="1" applyFill="1" applyBorder="1"/>
    <xf numFmtId="3" fontId="56" fillId="17" borderId="0" xfId="0" applyNumberFormat="1" applyFont="1" applyFill="1"/>
    <xf numFmtId="3" fontId="21" fillId="17" borderId="0" xfId="0" applyNumberFormat="1" applyFont="1" applyFill="1" applyBorder="1"/>
    <xf numFmtId="3" fontId="29" fillId="17" borderId="0" xfId="0" applyNumberFormat="1" applyFont="1" applyFill="1" applyBorder="1"/>
    <xf numFmtId="3" fontId="29" fillId="0" borderId="0" xfId="0" applyNumberFormat="1" applyFont="1" applyFill="1" applyBorder="1"/>
    <xf numFmtId="3" fontId="45" fillId="0" borderId="0" xfId="0" applyNumberFormat="1" applyFont="1" applyFill="1"/>
    <xf numFmtId="3" fontId="47" fillId="19" borderId="0" xfId="0" applyNumberFormat="1" applyFont="1" applyFill="1"/>
    <xf numFmtId="3" fontId="28" fillId="19" borderId="0" xfId="0" applyNumberFormat="1" applyFont="1" applyFill="1"/>
    <xf numFmtId="3" fontId="47" fillId="19" borderId="2" xfId="0" applyNumberFormat="1" applyFont="1" applyFill="1" applyBorder="1"/>
    <xf numFmtId="3" fontId="29" fillId="4" borderId="0" xfId="0" applyNumberFormat="1" applyFont="1" applyFill="1"/>
    <xf numFmtId="3" fontId="29" fillId="12" borderId="1" xfId="0" applyNumberFormat="1" applyFont="1" applyFill="1" applyBorder="1"/>
    <xf numFmtId="3" fontId="28" fillId="0" borderId="1" xfId="0" applyNumberFormat="1" applyFont="1" applyFill="1" applyBorder="1"/>
    <xf numFmtId="3" fontId="29" fillId="0" borderId="0" xfId="0" applyNumberFormat="1" applyFont="1" applyBorder="1"/>
    <xf numFmtId="3" fontId="47" fillId="0" borderId="0" xfId="0" applyNumberFormat="1" applyFont="1" applyFill="1" applyBorder="1"/>
    <xf numFmtId="0" fontId="29" fillId="19" borderId="0" xfId="0" applyFont="1" applyFill="1" applyAlignment="1">
      <alignment horizontal="center" vertical="top" wrapText="1"/>
    </xf>
    <xf numFmtId="3" fontId="28" fillId="19" borderId="1" xfId="0" applyNumberFormat="1" applyFont="1" applyFill="1" applyBorder="1"/>
    <xf numFmtId="3" fontId="56" fillId="19" borderId="0" xfId="0" applyNumberFormat="1" applyFont="1" applyFill="1"/>
    <xf numFmtId="3" fontId="21" fillId="19" borderId="0" xfId="0" applyNumberFormat="1" applyFont="1" applyFill="1" applyBorder="1"/>
    <xf numFmtId="3" fontId="29" fillId="19" borderId="0" xfId="0" applyNumberFormat="1" applyFont="1" applyFill="1" applyBorder="1"/>
    <xf numFmtId="0" fontId="50" fillId="7" borderId="14" xfId="0" applyFont="1" applyFill="1" applyBorder="1"/>
    <xf numFmtId="0" fontId="21" fillId="0" borderId="14" xfId="0" applyFont="1" applyBorder="1"/>
    <xf numFmtId="3" fontId="21" fillId="0" borderId="14" xfId="0" applyNumberFormat="1" applyFont="1" applyBorder="1"/>
    <xf numFmtId="3" fontId="21" fillId="0" borderId="14" xfId="0" applyNumberFormat="1" applyFont="1" applyFill="1" applyBorder="1"/>
    <xf numFmtId="3" fontId="29" fillId="0" borderId="14" xfId="0" applyNumberFormat="1" applyFont="1" applyFill="1" applyBorder="1"/>
    <xf numFmtId="3" fontId="47" fillId="0" borderId="14" xfId="0" applyNumberFormat="1" applyFont="1" applyFill="1" applyBorder="1"/>
    <xf numFmtId="3" fontId="29" fillId="12" borderId="14" xfId="0" applyNumberFormat="1" applyFont="1" applyFill="1" applyBorder="1"/>
    <xf numFmtId="3" fontId="21" fillId="13" borderId="14" xfId="0" applyNumberFormat="1" applyFont="1" applyFill="1" applyBorder="1"/>
    <xf numFmtId="3" fontId="47" fillId="0" borderId="13" xfId="0" applyNumberFormat="1" applyFont="1" applyFill="1" applyBorder="1"/>
    <xf numFmtId="0" fontId="29" fillId="2" borderId="14" xfId="0" applyFont="1" applyFill="1" applyBorder="1" applyAlignment="1">
      <alignment horizontal="center" vertical="top" wrapText="1"/>
    </xf>
    <xf numFmtId="3" fontId="29" fillId="3" borderId="14" xfId="0" applyNumberFormat="1" applyFont="1" applyFill="1" applyBorder="1"/>
    <xf numFmtId="3" fontId="21" fillId="3" borderId="14" xfId="0" applyNumberFormat="1" applyFont="1" applyFill="1" applyBorder="1"/>
    <xf numFmtId="3" fontId="28" fillId="3" borderId="14" xfId="0" applyNumberFormat="1" applyFont="1" applyFill="1" applyBorder="1"/>
    <xf numFmtId="3" fontId="21" fillId="3" borderId="15" xfId="0" applyNumberFormat="1" applyFont="1" applyFill="1" applyBorder="1"/>
    <xf numFmtId="0" fontId="29" fillId="12" borderId="15" xfId="0" applyFont="1" applyFill="1" applyBorder="1"/>
    <xf numFmtId="3" fontId="28" fillId="3" borderId="15" xfId="0" applyNumberFormat="1" applyFont="1" applyFill="1" applyBorder="1"/>
    <xf numFmtId="3" fontId="47" fillId="3" borderId="14" xfId="0" applyNumberFormat="1" applyFont="1" applyFill="1" applyBorder="1"/>
    <xf numFmtId="3" fontId="49" fillId="0" borderId="14" xfId="0" applyNumberFormat="1" applyFont="1" applyFill="1" applyBorder="1" applyAlignment="1">
      <alignment horizontal="right"/>
    </xf>
    <xf numFmtId="3" fontId="47" fillId="0" borderId="14" xfId="0" applyNumberFormat="1" applyFont="1" applyFill="1" applyBorder="1" applyAlignment="1">
      <alignment vertical="center"/>
    </xf>
    <xf numFmtId="3" fontId="45" fillId="0" borderId="14" xfId="0" applyNumberFormat="1" applyFont="1" applyFill="1" applyBorder="1"/>
    <xf numFmtId="0" fontId="21" fillId="12" borderId="1" xfId="0" applyFont="1" applyFill="1" applyBorder="1" applyAlignment="1">
      <alignment horizontal="left"/>
    </xf>
    <xf numFmtId="0" fontId="0" fillId="15" borderId="0" xfId="0" applyFill="1"/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2" xfId="0" applyNumberFormat="1" applyFont="1" applyBorder="1"/>
    <xf numFmtId="0" fontId="0" fillId="0" borderId="0" xfId="0" quotePrefix="1"/>
    <xf numFmtId="3" fontId="24" fillId="0" borderId="0" xfId="0" applyNumberFormat="1" applyFont="1" applyFill="1" applyBorder="1"/>
    <xf numFmtId="0" fontId="29" fillId="11" borderId="17" xfId="0" applyFont="1" applyFill="1" applyBorder="1" applyAlignment="1">
      <alignment horizontal="center" vertical="top" wrapText="1"/>
    </xf>
    <xf numFmtId="0" fontId="50" fillId="7" borderId="17" xfId="0" applyFont="1" applyFill="1" applyBorder="1"/>
    <xf numFmtId="3" fontId="29" fillId="11" borderId="17" xfId="0" applyNumberFormat="1" applyFont="1" applyFill="1" applyBorder="1"/>
    <xf numFmtId="3" fontId="21" fillId="0" borderId="17" xfId="0" applyNumberFormat="1" applyFont="1" applyBorder="1"/>
    <xf numFmtId="3" fontId="21" fillId="11" borderId="17" xfId="0" applyNumberFormat="1" applyFont="1" applyFill="1" applyBorder="1"/>
    <xf numFmtId="3" fontId="28" fillId="11" borderId="17" xfId="0" applyNumberFormat="1" applyFont="1" applyFill="1" applyBorder="1"/>
    <xf numFmtId="3" fontId="21" fillId="11" borderId="18" xfId="0" applyNumberFormat="1" applyFont="1" applyFill="1" applyBorder="1"/>
    <xf numFmtId="0" fontId="29" fillId="12" borderId="18" xfId="0" applyFont="1" applyFill="1" applyBorder="1"/>
    <xf numFmtId="3" fontId="29" fillId="0" borderId="17" xfId="0" applyNumberFormat="1" applyFont="1" applyFill="1" applyBorder="1"/>
    <xf numFmtId="3" fontId="21" fillId="0" borderId="17" xfId="0" applyNumberFormat="1" applyFont="1" applyFill="1" applyBorder="1"/>
    <xf numFmtId="3" fontId="28" fillId="11" borderId="18" xfId="0" applyNumberFormat="1" applyFont="1" applyFill="1" applyBorder="1"/>
    <xf numFmtId="3" fontId="21" fillId="13" borderId="17" xfId="0" applyNumberFormat="1" applyFont="1" applyFill="1" applyBorder="1"/>
    <xf numFmtId="3" fontId="47" fillId="0" borderId="17" xfId="0" applyNumberFormat="1" applyFont="1" applyFill="1" applyBorder="1" applyAlignment="1">
      <alignment vertical="center"/>
    </xf>
    <xf numFmtId="3" fontId="45" fillId="0" borderId="17" xfId="0" applyNumberFormat="1" applyFont="1" applyFill="1" applyBorder="1"/>
    <xf numFmtId="3" fontId="47" fillId="0" borderId="17" xfId="0" applyNumberFormat="1" applyFont="1" applyFill="1" applyBorder="1"/>
    <xf numFmtId="3" fontId="47" fillId="0" borderId="16" xfId="0" applyNumberFormat="1" applyFont="1" applyFill="1" applyBorder="1"/>
    <xf numFmtId="3" fontId="21" fillId="2" borderId="14" xfId="0" applyNumberFormat="1" applyFont="1" applyFill="1" applyBorder="1"/>
    <xf numFmtId="165" fontId="50" fillId="15" borderId="0" xfId="0" applyNumberFormat="1" applyFont="1" applyFill="1"/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center" wrapText="1"/>
    </xf>
    <xf numFmtId="0" fontId="58" fillId="22" borderId="0" xfId="0" applyFont="1" applyFill="1" applyAlignment="1">
      <alignment vertical="center"/>
    </xf>
    <xf numFmtId="0" fontId="4" fillId="22" borderId="0" xfId="0" applyFont="1" applyFill="1"/>
    <xf numFmtId="0" fontId="22" fillId="22" borderId="0" xfId="0" applyFont="1" applyFill="1"/>
    <xf numFmtId="0" fontId="2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9" fillId="0" borderId="19" xfId="0" applyFont="1" applyBorder="1" applyAlignment="1">
      <alignment vertical="center"/>
    </xf>
    <xf numFmtId="0" fontId="2" fillId="0" borderId="19" xfId="0" applyFont="1" applyBorder="1"/>
    <xf numFmtId="0" fontId="0" fillId="0" borderId="19" xfId="0" applyFont="1" applyBorder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36" fillId="0" borderId="0" xfId="0" applyNumberFormat="1" applyFont="1" applyFill="1"/>
    <xf numFmtId="3" fontId="40" fillId="0" borderId="0" xfId="0" applyNumberFormat="1" applyFont="1" applyFill="1"/>
    <xf numFmtId="3" fontId="2" fillId="0" borderId="0" xfId="0" applyNumberFormat="1" applyFont="1" applyAlignment="1">
      <alignment vertical="center"/>
    </xf>
    <xf numFmtId="0" fontId="60" fillId="0" borderId="0" xfId="0" applyFont="1"/>
    <xf numFmtId="3" fontId="59" fillId="0" borderId="19" xfId="0" applyNumberFormat="1" applyFont="1" applyBorder="1"/>
    <xf numFmtId="0" fontId="59" fillId="0" borderId="0" xfId="0" applyFont="1" applyBorder="1" applyAlignment="1">
      <alignment vertical="center"/>
    </xf>
    <xf numFmtId="3" fontId="59" fillId="0" borderId="0" xfId="0" applyNumberFormat="1" applyFont="1" applyBorder="1"/>
    <xf numFmtId="0" fontId="3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3" fontId="39" fillId="0" borderId="1" xfId="0" applyNumberFormat="1" applyFont="1" applyBorder="1"/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6" fillId="0" borderId="0" xfId="0" applyFont="1"/>
    <xf numFmtId="0" fontId="39" fillId="0" borderId="0" xfId="0" applyFont="1" applyBorder="1" applyAlignment="1">
      <alignment vertical="center"/>
    </xf>
    <xf numFmtId="0" fontId="10" fillId="0" borderId="0" xfId="0" applyFont="1" applyBorder="1"/>
    <xf numFmtId="3" fontId="39" fillId="0" borderId="0" xfId="0" applyNumberFormat="1" applyFont="1" applyBorder="1"/>
    <xf numFmtId="0" fontId="10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/>
    <xf numFmtId="0" fontId="36" fillId="0" borderId="0" xfId="0" applyFont="1" applyAlignment="1">
      <alignment vertical="center"/>
    </xf>
    <xf numFmtId="3" fontId="10" fillId="0" borderId="0" xfId="0" applyNumberFormat="1" applyFont="1"/>
    <xf numFmtId="0" fontId="10" fillId="0" borderId="19" xfId="0" applyFont="1" applyBorder="1"/>
    <xf numFmtId="0" fontId="10" fillId="0" borderId="19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0" xfId="0" applyNumberFormat="1" applyFont="1" applyBorder="1"/>
    <xf numFmtId="0" fontId="2" fillId="0" borderId="1" xfId="0" applyFont="1" applyBorder="1"/>
    <xf numFmtId="3" fontId="28" fillId="0" borderId="0" xfId="0" applyNumberFormat="1" applyFont="1"/>
    <xf numFmtId="3" fontId="2" fillId="0" borderId="0" xfId="0" applyNumberFormat="1" applyFont="1" applyFill="1"/>
    <xf numFmtId="3" fontId="2" fillId="0" borderId="1" xfId="0" applyNumberFormat="1" applyFont="1" applyBorder="1"/>
    <xf numFmtId="0" fontId="61" fillId="9" borderId="0" xfId="0" applyFont="1" applyFill="1" applyBorder="1" applyAlignment="1">
      <alignment horizontal="right" vertical="top" wrapText="1"/>
    </xf>
    <xf numFmtId="0" fontId="29" fillId="5" borderId="0" xfId="0" applyFont="1" applyFill="1" applyBorder="1" applyAlignment="1">
      <alignment horizontal="right" vertical="top" wrapText="1"/>
    </xf>
    <xf numFmtId="3" fontId="3" fillId="0" borderId="0" xfId="0" applyNumberFormat="1" applyFont="1" applyFill="1"/>
    <xf numFmtId="3" fontId="21" fillId="0" borderId="15" xfId="0" applyNumberFormat="1" applyFont="1" applyBorder="1"/>
    <xf numFmtId="3" fontId="29" fillId="0" borderId="14" xfId="0" applyNumberFormat="1" applyFont="1" applyBorder="1"/>
    <xf numFmtId="3" fontId="29" fillId="4" borderId="14" xfId="0" applyNumberFormat="1" applyFont="1" applyFill="1" applyBorder="1"/>
    <xf numFmtId="3" fontId="28" fillId="0" borderId="14" xfId="0" applyNumberFormat="1" applyFont="1" applyFill="1" applyBorder="1"/>
    <xf numFmtId="3" fontId="24" fillId="0" borderId="14" xfId="0" applyNumberFormat="1" applyFont="1" applyFill="1" applyBorder="1"/>
    <xf numFmtId="3" fontId="21" fillId="0" borderId="15" xfId="0" applyNumberFormat="1" applyFont="1" applyFill="1" applyBorder="1"/>
    <xf numFmtId="3" fontId="21" fillId="0" borderId="18" xfId="0" applyNumberFormat="1" applyFont="1" applyFill="1" applyBorder="1"/>
    <xf numFmtId="3" fontId="21" fillId="2" borderId="15" xfId="0" applyNumberFormat="1" applyFont="1" applyFill="1" applyBorder="1"/>
    <xf numFmtId="3" fontId="21" fillId="3" borderId="0" xfId="0" applyNumberFormat="1" applyFont="1" applyFill="1" applyBorder="1"/>
    <xf numFmtId="3" fontId="21" fillId="0" borderId="0" xfId="0" applyNumberFormat="1" applyFont="1" applyBorder="1" applyAlignment="1">
      <alignment vertical="top" wrapText="1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0" fontId="29" fillId="20" borderId="0" xfId="0" applyFont="1" applyFill="1" applyBorder="1" applyAlignment="1">
      <alignment horizontal="right" vertical="top" wrapText="1"/>
    </xf>
    <xf numFmtId="3" fontId="21" fillId="20" borderId="15" xfId="0" applyNumberFormat="1" applyFont="1" applyFill="1" applyBorder="1"/>
    <xf numFmtId="3" fontId="28" fillId="0" borderId="14" xfId="0" applyNumberFormat="1" applyFont="1" applyBorder="1"/>
    <xf numFmtId="3" fontId="21" fillId="23" borderId="15" xfId="0" applyNumberFormat="1" applyFont="1" applyFill="1" applyBorder="1"/>
    <xf numFmtId="3" fontId="28" fillId="0" borderId="15" xfId="0" applyNumberFormat="1" applyFont="1" applyFill="1" applyBorder="1"/>
    <xf numFmtId="0" fontId="49" fillId="0" borderId="0" xfId="0" applyFont="1" applyFill="1" applyBorder="1" applyAlignment="1">
      <alignment horizontal="center"/>
    </xf>
    <xf numFmtId="3" fontId="29" fillId="0" borderId="20" xfId="0" applyNumberFormat="1" applyFont="1" applyFill="1" applyBorder="1"/>
    <xf numFmtId="3" fontId="2" fillId="0" borderId="0" xfId="0" applyNumberFormat="1" applyFont="1" applyBorder="1"/>
    <xf numFmtId="3" fontId="21" fillId="11" borderId="1" xfId="0" applyNumberFormat="1" applyFont="1" applyFill="1" applyBorder="1"/>
    <xf numFmtId="3" fontId="21" fillId="11" borderId="0" xfId="0" applyNumberFormat="1" applyFont="1" applyFill="1" applyBorder="1"/>
    <xf numFmtId="0" fontId="11" fillId="24" borderId="0" xfId="0" applyFont="1" applyFill="1"/>
    <xf numFmtId="0" fontId="63" fillId="20" borderId="3" xfId="0" applyFont="1" applyFill="1" applyBorder="1"/>
    <xf numFmtId="0" fontId="51" fillId="3" borderId="0" xfId="0" applyFont="1" applyFill="1"/>
    <xf numFmtId="0" fontId="21" fillId="0" borderId="0" xfId="0" quotePrefix="1" applyFont="1" applyAlignment="1">
      <alignment horizontal="right" wrapText="1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3" fontId="7" fillId="20" borderId="5" xfId="0" applyNumberFormat="1" applyFont="1" applyFill="1" applyBorder="1"/>
    <xf numFmtId="0" fontId="30" fillId="6" borderId="0" xfId="0" applyFont="1" applyFill="1"/>
    <xf numFmtId="3" fontId="21" fillId="26" borderId="14" xfId="0" applyNumberFormat="1" applyFont="1" applyFill="1" applyBorder="1"/>
    <xf numFmtId="3" fontId="21" fillId="27" borderId="14" xfId="0" applyNumberFormat="1" applyFont="1" applyFill="1" applyBorder="1"/>
    <xf numFmtId="3" fontId="28" fillId="27" borderId="14" xfId="0" applyNumberFormat="1" applyFont="1" applyFill="1" applyBorder="1"/>
    <xf numFmtId="3" fontId="21" fillId="27" borderId="0" xfId="0" applyNumberFormat="1" applyFont="1" applyFill="1"/>
    <xf numFmtId="3" fontId="21" fillId="25" borderId="0" xfId="0" applyNumberFormat="1" applyFont="1" applyFill="1"/>
    <xf numFmtId="0" fontId="61" fillId="0" borderId="0" xfId="0" applyFont="1"/>
    <xf numFmtId="0" fontId="11" fillId="28" borderId="0" xfId="0" applyFont="1" applyFill="1"/>
    <xf numFmtId="0" fontId="30" fillId="28" borderId="0" xfId="0" applyFont="1" applyFill="1" applyBorder="1" applyAlignment="1">
      <alignment horizontal="left"/>
    </xf>
    <xf numFmtId="3" fontId="10" fillId="0" borderId="1" xfId="0" applyNumberFormat="1" applyFont="1" applyBorder="1"/>
    <xf numFmtId="0" fontId="29" fillId="0" borderId="14" xfId="0" applyFont="1" applyFill="1" applyBorder="1"/>
    <xf numFmtId="3" fontId="62" fillId="0" borderId="14" xfId="0" applyNumberFormat="1" applyFont="1" applyBorder="1"/>
    <xf numFmtId="3" fontId="49" fillId="0" borderId="14" xfId="0" applyNumberFormat="1" applyFont="1" applyFill="1" applyBorder="1"/>
    <xf numFmtId="3" fontId="49" fillId="0" borderId="14" xfId="0" applyNumberFormat="1" applyFont="1" applyBorder="1"/>
    <xf numFmtId="0" fontId="49" fillId="0" borderId="0" xfId="0" applyFont="1" applyFill="1" applyAlignment="1">
      <alignment horizontal="left"/>
    </xf>
    <xf numFmtId="0" fontId="49" fillId="0" borderId="0" xfId="0" applyFont="1" applyFill="1"/>
    <xf numFmtId="0" fontId="30" fillId="16" borderId="0" xfId="0" applyFont="1" applyFill="1"/>
    <xf numFmtId="0" fontId="65" fillId="3" borderId="0" xfId="0" applyFont="1" applyFill="1"/>
    <xf numFmtId="0" fontId="45" fillId="0" borderId="0" xfId="0" applyFont="1" applyFill="1" applyAlignment="1">
      <alignment horizontal="right"/>
    </xf>
    <xf numFmtId="3" fontId="24" fillId="0" borderId="0" xfId="0" applyNumberFormat="1" applyFont="1"/>
    <xf numFmtId="0" fontId="4" fillId="0" borderId="0" xfId="0" applyFont="1" applyFill="1" applyAlignment="1">
      <alignment horizontal="center"/>
    </xf>
    <xf numFmtId="3" fontId="45" fillId="0" borderId="0" xfId="0" applyNumberFormat="1" applyFont="1" applyFill="1" applyAlignment="1">
      <alignment horizontal="right"/>
    </xf>
    <xf numFmtId="3" fontId="21" fillId="0" borderId="21" xfId="0" applyNumberFormat="1" applyFont="1" applyFill="1" applyBorder="1"/>
    <xf numFmtId="3" fontId="28" fillId="0" borderId="15" xfId="0" applyNumberFormat="1" applyFont="1" applyBorder="1"/>
    <xf numFmtId="0" fontId="11" fillId="28" borderId="0" xfId="0" applyFont="1" applyFill="1" applyAlignment="1">
      <alignment horizontal="left"/>
    </xf>
    <xf numFmtId="3" fontId="28" fillId="0" borderId="21" xfId="0" applyNumberFormat="1" applyFont="1" applyBorder="1"/>
    <xf numFmtId="0" fontId="67" fillId="3" borderId="0" xfId="0" applyFont="1" applyFill="1" applyAlignment="1">
      <alignment horizontal="right"/>
    </xf>
    <xf numFmtId="165" fontId="21" fillId="4" borderId="0" xfId="0" applyNumberFormat="1" applyFont="1" applyFill="1"/>
    <xf numFmtId="165" fontId="21" fillId="0" borderId="0" xfId="0" applyNumberFormat="1" applyFont="1" applyFill="1"/>
    <xf numFmtId="0" fontId="50" fillId="0" borderId="0" xfId="0" applyFont="1" applyFill="1"/>
    <xf numFmtId="0" fontId="50" fillId="0" borderId="0" xfId="0" applyFont="1" applyFill="1" applyAlignment="1">
      <alignment horizontal="right"/>
    </xf>
    <xf numFmtId="3" fontId="50" fillId="0" borderId="0" xfId="0" applyNumberFormat="1" applyFont="1" applyFill="1" applyAlignment="1">
      <alignment horizontal="right"/>
    </xf>
    <xf numFmtId="165" fontId="21" fillId="5" borderId="0" xfId="0" applyNumberFormat="1" applyFont="1" applyFill="1"/>
    <xf numFmtId="165" fontId="21" fillId="3" borderId="0" xfId="0" applyNumberFormat="1" applyFont="1" applyFill="1"/>
    <xf numFmtId="165" fontId="28" fillId="6" borderId="0" xfId="0" applyNumberFormat="1" applyFont="1" applyFill="1"/>
    <xf numFmtId="165" fontId="28" fillId="9" borderId="0" xfId="0" applyNumberFormat="1" applyFont="1" applyFill="1"/>
    <xf numFmtId="165" fontId="28" fillId="10" borderId="0" xfId="0" applyNumberFormat="1" applyFont="1" applyFill="1"/>
    <xf numFmtId="165" fontId="28" fillId="3" borderId="0" xfId="0" applyNumberFormat="1" applyFont="1" applyFill="1"/>
    <xf numFmtId="165" fontId="28" fillId="16" borderId="0" xfId="0" applyNumberFormat="1" applyFont="1" applyFill="1"/>
    <xf numFmtId="165" fontId="28" fillId="28" borderId="0" xfId="0" applyNumberFormat="1" applyFont="1" applyFill="1"/>
    <xf numFmtId="0" fontId="49" fillId="0" borderId="0" xfId="0" applyFont="1" applyAlignment="1">
      <alignment horizontal="right" vertical="top" wrapText="1"/>
    </xf>
    <xf numFmtId="0" fontId="28" fillId="0" borderId="0" xfId="0" applyFont="1" applyFill="1" applyAlignment="1">
      <alignment wrapText="1"/>
    </xf>
    <xf numFmtId="0" fontId="21" fillId="0" borderId="0" xfId="0" applyFont="1" applyAlignment="1">
      <alignment horizontal="right" wrapText="1"/>
    </xf>
    <xf numFmtId="165" fontId="28" fillId="12" borderId="0" xfId="0" applyNumberFormat="1" applyFont="1" applyFill="1"/>
    <xf numFmtId="0" fontId="68" fillId="3" borderId="0" xfId="0" applyFont="1" applyFill="1" applyAlignment="1">
      <alignment horizontal="right"/>
    </xf>
    <xf numFmtId="166" fontId="21" fillId="0" borderId="0" xfId="0" applyNumberFormat="1" applyFont="1" applyFill="1"/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3" fontId="49" fillId="0" borderId="0" xfId="0" applyNumberFormat="1" applyFont="1"/>
    <xf numFmtId="0" fontId="4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0" fillId="0" borderId="0" xfId="0" applyNumberFormat="1" applyFont="1"/>
    <xf numFmtId="0" fontId="10" fillId="0" borderId="0" xfId="0" applyFont="1" applyAlignment="1">
      <alignment horizontal="right" vertical="center"/>
    </xf>
    <xf numFmtId="0" fontId="70" fillId="0" borderId="0" xfId="1" applyFont="1"/>
    <xf numFmtId="3" fontId="36" fillId="0" borderId="0" xfId="0" applyNumberFormat="1" applyFont="1"/>
    <xf numFmtId="3" fontId="10" fillId="0" borderId="0" xfId="0" applyNumberFormat="1" applyFont="1" applyBorder="1" applyAlignment="1">
      <alignment vertical="center"/>
    </xf>
    <xf numFmtId="3" fontId="60" fillId="0" borderId="0" xfId="0" applyNumberFormat="1" applyFont="1"/>
    <xf numFmtId="3" fontId="32" fillId="0" borderId="0" xfId="0" applyNumberFormat="1" applyFont="1" applyBorder="1" applyAlignment="1">
      <alignment vertical="center"/>
    </xf>
    <xf numFmtId="3" fontId="24" fillId="0" borderId="1" xfId="0" applyNumberFormat="1" applyFont="1" applyFill="1" applyBorder="1"/>
    <xf numFmtId="167" fontId="49" fillId="0" borderId="0" xfId="0" applyNumberFormat="1" applyFont="1"/>
    <xf numFmtId="167" fontId="38" fillId="0" borderId="0" xfId="0" applyNumberFormat="1" applyFont="1"/>
    <xf numFmtId="3" fontId="49" fillId="0" borderId="0" xfId="0" applyNumberFormat="1" applyFont="1" applyFill="1"/>
    <xf numFmtId="3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0" xfId="0" applyFont="1"/>
    <xf numFmtId="0" fontId="71" fillId="31" borderId="14" xfId="0" applyFont="1" applyFill="1" applyBorder="1" applyAlignment="1">
      <alignment horizontal="right" vertical="top" wrapText="1"/>
    </xf>
    <xf numFmtId="0" fontId="71" fillId="29" borderId="14" xfId="0" applyFont="1" applyFill="1" applyBorder="1" applyAlignment="1">
      <alignment horizontal="right" vertical="top" wrapText="1"/>
    </xf>
    <xf numFmtId="3" fontId="35" fillId="0" borderId="0" xfId="0" applyNumberFormat="1" applyFont="1" applyFill="1"/>
    <xf numFmtId="3" fontId="32" fillId="0" borderId="0" xfId="0" applyNumberFormat="1" applyFont="1" applyFill="1" applyAlignment="1">
      <alignment vertical="center"/>
    </xf>
    <xf numFmtId="3" fontId="32" fillId="0" borderId="0" xfId="0" applyNumberFormat="1" applyFont="1" applyFill="1"/>
    <xf numFmtId="0" fontId="72" fillId="20" borderId="0" xfId="0" applyFont="1" applyFill="1" applyAlignment="1">
      <alignment horizontal="center"/>
    </xf>
    <xf numFmtId="0" fontId="61" fillId="8" borderId="0" xfId="0" applyFont="1" applyFill="1" applyAlignment="1">
      <alignment horizontal="right" vertical="top" wrapText="1"/>
    </xf>
    <xf numFmtId="0" fontId="61" fillId="5" borderId="0" xfId="0" applyFont="1" applyFill="1" applyBorder="1" applyAlignment="1">
      <alignment horizontal="right" vertical="top" wrapText="1"/>
    </xf>
    <xf numFmtId="0" fontId="8" fillId="6" borderId="14" xfId="0" applyFont="1" applyFill="1" applyBorder="1" applyAlignment="1">
      <alignment horizontal="right" vertical="top" wrapText="1"/>
    </xf>
    <xf numFmtId="3" fontId="28" fillId="11" borderId="0" xfId="0" applyNumberFormat="1" applyFont="1" applyFill="1" applyBorder="1"/>
    <xf numFmtId="0" fontId="47" fillId="0" borderId="0" xfId="0" applyFont="1" applyFill="1" applyBorder="1" applyAlignment="1">
      <alignment horizontal="center" wrapText="1"/>
    </xf>
    <xf numFmtId="0" fontId="73" fillId="0" borderId="0" xfId="1" applyFont="1"/>
    <xf numFmtId="0" fontId="38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3" fontId="74" fillId="0" borderId="0" xfId="1" applyNumberFormat="1" applyFont="1" applyBorder="1"/>
    <xf numFmtId="0" fontId="74" fillId="0" borderId="0" xfId="1" applyFont="1" applyFill="1" applyBorder="1" applyAlignment="1">
      <alignment wrapText="1"/>
    </xf>
    <xf numFmtId="0" fontId="28" fillId="0" borderId="0" xfId="0" applyFont="1" applyAlignment="1">
      <alignment horizontal="center"/>
    </xf>
    <xf numFmtId="0" fontId="29" fillId="20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Alignment="1">
      <alignment horizontal="left"/>
    </xf>
    <xf numFmtId="3" fontId="21" fillId="23" borderId="14" xfId="0" applyNumberFormat="1" applyFont="1" applyFill="1" applyBorder="1"/>
    <xf numFmtId="0" fontId="2" fillId="0" borderId="0" xfId="0" applyFont="1" applyFill="1" applyAlignment="1"/>
    <xf numFmtId="3" fontId="21" fillId="23" borderId="0" xfId="0" applyNumberFormat="1" applyFont="1" applyFill="1"/>
    <xf numFmtId="0" fontId="28" fillId="0" borderId="0" xfId="0" applyFont="1" applyAlignment="1">
      <alignment horizontal="center" wrapText="1"/>
    </xf>
    <xf numFmtId="3" fontId="28" fillId="23" borderId="15" xfId="0" applyNumberFormat="1" applyFont="1" applyFill="1" applyBorder="1"/>
    <xf numFmtId="0" fontId="75" fillId="30" borderId="14" xfId="0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0" fillId="0" borderId="0" xfId="0" applyAlignment="1">
      <alignment horizontal="left"/>
    </xf>
    <xf numFmtId="0" fontId="21" fillId="0" borderId="0" xfId="0" quotePrefix="1" applyFont="1"/>
    <xf numFmtId="0" fontId="0" fillId="0" borderId="1" xfId="0" applyBorder="1"/>
    <xf numFmtId="0" fontId="1" fillId="0" borderId="1" xfId="0" applyFont="1" applyBorder="1"/>
    <xf numFmtId="0" fontId="0" fillId="1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/>
    <xf numFmtId="0" fontId="0" fillId="36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7" borderId="0" xfId="0" applyFill="1"/>
    <xf numFmtId="3" fontId="0" fillId="36" borderId="0" xfId="0" applyNumberFormat="1" applyFill="1"/>
    <xf numFmtId="0" fontId="0" fillId="38" borderId="0" xfId="0" applyFill="1"/>
    <xf numFmtId="3" fontId="0" fillId="39" borderId="0" xfId="0" applyNumberFormat="1" applyFill="1"/>
    <xf numFmtId="0" fontId="0" fillId="0" borderId="0" xfId="0" quotePrefix="1" applyAlignment="1">
      <alignment horizontal="left"/>
    </xf>
    <xf numFmtId="3" fontId="0" fillId="39" borderId="0" xfId="0" quotePrefix="1" applyNumberFormat="1" applyFill="1" applyAlignment="1">
      <alignment horizontal="right"/>
    </xf>
    <xf numFmtId="1" fontId="0" fillId="0" borderId="0" xfId="0" applyNumberFormat="1"/>
    <xf numFmtId="0" fontId="21" fillId="0" borderId="0" xfId="0" applyFont="1" applyBorder="1"/>
    <xf numFmtId="3" fontId="29" fillId="4" borderId="0" xfId="0" applyNumberFormat="1" applyFont="1" applyFill="1" applyBorder="1"/>
    <xf numFmtId="3" fontId="45" fillId="0" borderId="0" xfId="0" applyNumberFormat="1" applyFont="1" applyFill="1" applyBorder="1"/>
    <xf numFmtId="3" fontId="49" fillId="0" borderId="0" xfId="0" applyNumberFormat="1" applyFont="1" applyBorder="1"/>
    <xf numFmtId="3" fontId="29" fillId="0" borderId="7" xfId="0" applyNumberFormat="1" applyFont="1" applyFill="1" applyBorder="1"/>
    <xf numFmtId="3" fontId="49" fillId="0" borderId="0" xfId="0" applyNumberFormat="1" applyFont="1" applyFill="1" applyBorder="1"/>
    <xf numFmtId="3" fontId="28" fillId="27" borderId="0" xfId="0" applyNumberFormat="1" applyFont="1" applyFill="1" applyBorder="1"/>
    <xf numFmtId="3" fontId="28" fillId="23" borderId="0" xfId="0" applyNumberFormat="1" applyFont="1" applyFill="1" applyBorder="1"/>
    <xf numFmtId="3" fontId="21" fillId="27" borderId="0" xfId="0" applyNumberFormat="1" applyFont="1" applyFill="1" applyBorder="1"/>
    <xf numFmtId="3" fontId="21" fillId="23" borderId="1" xfId="0" applyNumberFormat="1" applyFont="1" applyFill="1" applyBorder="1"/>
    <xf numFmtId="3" fontId="21" fillId="26" borderId="0" xfId="0" applyNumberFormat="1" applyFont="1" applyFill="1" applyBorder="1"/>
    <xf numFmtId="3" fontId="21" fillId="23" borderId="0" xfId="0" applyNumberFormat="1" applyFont="1" applyFill="1" applyBorder="1"/>
    <xf numFmtId="3" fontId="28" fillId="0" borderId="1" xfId="0" applyNumberFormat="1" applyFont="1" applyBorder="1"/>
    <xf numFmtId="3" fontId="21" fillId="20" borderId="1" xfId="0" applyNumberFormat="1" applyFont="1" applyFill="1" applyBorder="1"/>
    <xf numFmtId="3" fontId="29" fillId="12" borderId="0" xfId="0" applyNumberFormat="1" applyFont="1" applyFill="1" applyBorder="1"/>
    <xf numFmtId="3" fontId="21" fillId="13" borderId="0" xfId="0" applyNumberFormat="1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5" fillId="0" borderId="1" xfId="0" applyNumberFormat="1" applyFont="1" applyBorder="1" applyAlignment="1">
      <alignment horizontal="center"/>
    </xf>
    <xf numFmtId="3" fontId="28" fillId="23" borderId="1" xfId="0" applyNumberFormat="1" applyFont="1" applyFill="1" applyBorder="1"/>
    <xf numFmtId="3" fontId="49" fillId="0" borderId="21" xfId="0" applyNumberFormat="1" applyFont="1" applyBorder="1"/>
    <xf numFmtId="3" fontId="29" fillId="4" borderId="21" xfId="0" applyNumberFormat="1" applyFont="1" applyFill="1" applyBorder="1"/>
    <xf numFmtId="0" fontId="21" fillId="0" borderId="21" xfId="0" applyFont="1" applyBorder="1"/>
    <xf numFmtId="3" fontId="21" fillId="0" borderId="21" xfId="0" applyNumberFormat="1" applyFont="1" applyBorder="1"/>
    <xf numFmtId="3" fontId="29" fillId="0" borderId="21" xfId="0" applyNumberFormat="1" applyFont="1" applyBorder="1"/>
    <xf numFmtId="3" fontId="21" fillId="0" borderId="23" xfId="0" applyNumberFormat="1" applyFont="1" applyBorder="1"/>
    <xf numFmtId="3" fontId="29" fillId="0" borderId="21" xfId="0" applyNumberFormat="1" applyFont="1" applyFill="1" applyBorder="1"/>
    <xf numFmtId="3" fontId="21" fillId="0" borderId="23" xfId="0" applyNumberFormat="1" applyFont="1" applyFill="1" applyBorder="1"/>
    <xf numFmtId="3" fontId="28" fillId="0" borderId="21" xfId="0" applyNumberFormat="1" applyFont="1" applyFill="1" applyBorder="1"/>
    <xf numFmtId="3" fontId="21" fillId="32" borderId="21" xfId="0" applyNumberFormat="1" applyFont="1" applyFill="1" applyBorder="1"/>
    <xf numFmtId="0" fontId="29" fillId="12" borderId="23" xfId="0" applyFont="1" applyFill="1" applyBorder="1"/>
    <xf numFmtId="0" fontId="29" fillId="0" borderId="21" xfId="0" applyFont="1" applyFill="1" applyBorder="1"/>
    <xf numFmtId="3" fontId="49" fillId="0" borderId="21" xfId="0" applyNumberFormat="1" applyFont="1" applyFill="1" applyBorder="1"/>
    <xf numFmtId="3" fontId="45" fillId="0" borderId="21" xfId="0" applyNumberFormat="1" applyFont="1" applyFill="1" applyBorder="1"/>
    <xf numFmtId="3" fontId="62" fillId="0" borderId="21" xfId="0" applyNumberFormat="1" applyFont="1" applyBorder="1"/>
    <xf numFmtId="3" fontId="28" fillId="0" borderId="23" xfId="0" applyNumberFormat="1" applyFont="1" applyFill="1" applyBorder="1"/>
    <xf numFmtId="3" fontId="28" fillId="20" borderId="21" xfId="0" applyNumberFormat="1" applyFont="1" applyFill="1" applyBorder="1"/>
    <xf numFmtId="3" fontId="29" fillId="0" borderId="24" xfId="0" applyNumberFormat="1" applyFont="1" applyFill="1" applyBorder="1"/>
    <xf numFmtId="3" fontId="28" fillId="27" borderId="21" xfId="0" applyNumberFormat="1" applyFont="1" applyFill="1" applyBorder="1"/>
    <xf numFmtId="3" fontId="28" fillId="23" borderId="23" xfId="0" applyNumberFormat="1" applyFont="1" applyFill="1" applyBorder="1"/>
    <xf numFmtId="3" fontId="21" fillId="27" borderId="21" xfId="0" applyNumberFormat="1" applyFont="1" applyFill="1" applyBorder="1"/>
    <xf numFmtId="3" fontId="21" fillId="23" borderId="23" xfId="0" applyNumberFormat="1" applyFont="1" applyFill="1" applyBorder="1"/>
    <xf numFmtId="3" fontId="21" fillId="26" borderId="21" xfId="0" applyNumberFormat="1" applyFont="1" applyFill="1" applyBorder="1"/>
    <xf numFmtId="3" fontId="21" fillId="23" borderId="21" xfId="0" applyNumberFormat="1" applyFont="1" applyFill="1" applyBorder="1"/>
    <xf numFmtId="3" fontId="47" fillId="0" borderId="21" xfId="0" applyNumberFormat="1" applyFont="1" applyFill="1" applyBorder="1"/>
    <xf numFmtId="3" fontId="28" fillId="0" borderId="23" xfId="0" applyNumberFormat="1" applyFont="1" applyBorder="1"/>
    <xf numFmtId="0" fontId="32" fillId="0" borderId="0" xfId="0" applyFont="1" applyFill="1" applyBorder="1" applyAlignment="1">
      <alignment horizontal="left" indent="1"/>
    </xf>
    <xf numFmtId="3" fontId="28" fillId="20" borderId="23" xfId="0" applyNumberFormat="1" applyFont="1" applyFill="1" applyBorder="1"/>
    <xf numFmtId="0" fontId="2" fillId="0" borderId="0" xfId="0" applyFont="1" applyBorder="1"/>
    <xf numFmtId="3" fontId="28" fillId="0" borderId="23" xfId="0" applyNumberFormat="1" applyFont="1" applyBorder="1" applyAlignment="1">
      <alignment horizontal="right"/>
    </xf>
    <xf numFmtId="0" fontId="2" fillId="0" borderId="0" xfId="0" applyFont="1" applyFill="1" applyBorder="1"/>
    <xf numFmtId="165" fontId="38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top"/>
    </xf>
    <xf numFmtId="3" fontId="1" fillId="37" borderId="0" xfId="0" applyNumberFormat="1" applyFont="1" applyFill="1"/>
    <xf numFmtId="3" fontId="1" fillId="35" borderId="0" xfId="0" applyNumberFormat="1" applyFont="1" applyFill="1"/>
    <xf numFmtId="3" fontId="1" fillId="38" borderId="1" xfId="0" applyNumberFormat="1" applyFont="1" applyFill="1" applyBorder="1"/>
    <xf numFmtId="3" fontId="49" fillId="20" borderId="14" xfId="0" applyNumberFormat="1" applyFont="1" applyFill="1" applyBorder="1"/>
    <xf numFmtId="0" fontId="4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3" fontId="21" fillId="0" borderId="3" xfId="0" applyNumberFormat="1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left" vertical="top" wrapText="1"/>
    </xf>
    <xf numFmtId="3" fontId="21" fillId="0" borderId="5" xfId="0" applyNumberFormat="1" applyFont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74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E92903"/>
      <color rgb="FF66FF33"/>
      <color rgb="FFFFFF66"/>
      <color rgb="FF99FF66"/>
      <color rgb="FFFF9933"/>
      <color rgb="FFCC66FF"/>
      <color rgb="FF00FF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FF00"/>
    <outlinePr summaryBelow="0"/>
  </sheetPr>
  <dimension ref="A1:AA362"/>
  <sheetViews>
    <sheetView tabSelected="1" topLeftCell="C1" zoomScale="126" zoomScaleNormal="126" workbookViewId="0">
      <pane ySplit="1" topLeftCell="A46" activePane="bottomLeft" state="frozen"/>
      <selection pane="bottomLeft" activeCell="C58" sqref="C58"/>
    </sheetView>
  </sheetViews>
  <sheetFormatPr defaultColWidth="9.33203125" defaultRowHeight="13.8" outlineLevelRow="4"/>
  <cols>
    <col min="1" max="1" width="7.33203125" style="33" hidden="1" customWidth="1"/>
    <col min="2" max="2" width="6.6640625" style="7" hidden="1" customWidth="1"/>
    <col min="3" max="3" width="5.6640625" style="127" customWidth="1"/>
    <col min="4" max="4" width="33.6640625" style="12" customWidth="1"/>
    <col min="5" max="5" width="20.6640625" style="33" customWidth="1"/>
    <col min="6" max="8" width="7.6640625" style="33" hidden="1" customWidth="1"/>
    <col min="9" max="9" width="7.6640625" style="3" customWidth="1"/>
    <col min="10" max="11" width="7.6640625" style="3" hidden="1" customWidth="1"/>
    <col min="12" max="12" width="9.6640625" style="3" customWidth="1"/>
    <col min="13" max="15" width="9.6640625" style="3" hidden="1" customWidth="1"/>
    <col min="16" max="18" width="9.6640625" style="3" customWidth="1"/>
    <col min="19" max="19" width="44.6640625" style="3" customWidth="1"/>
    <col min="20" max="20" width="16.6640625" style="3" hidden="1" customWidth="1"/>
    <col min="21" max="21" width="18.5546875" style="3" hidden="1" customWidth="1"/>
    <col min="22" max="22" width="0" style="3" hidden="1" customWidth="1"/>
    <col min="23" max="16384" width="9.33203125" style="3"/>
  </cols>
  <sheetData>
    <row r="1" spans="1:20" s="2" customFormat="1" ht="34.5" customHeight="1">
      <c r="A1" s="51" t="s">
        <v>161</v>
      </c>
      <c r="B1" s="76" t="s">
        <v>198</v>
      </c>
      <c r="C1" s="126" t="s">
        <v>43</v>
      </c>
      <c r="D1" s="557" t="s">
        <v>44</v>
      </c>
      <c r="E1" s="431"/>
      <c r="F1" s="276" t="s">
        <v>195</v>
      </c>
      <c r="G1" s="294" t="s">
        <v>399</v>
      </c>
      <c r="H1" s="460" t="s">
        <v>398</v>
      </c>
      <c r="I1" s="461" t="s">
        <v>525</v>
      </c>
      <c r="J1" s="372" t="s">
        <v>402</v>
      </c>
      <c r="K1" s="357" t="s">
        <v>401</v>
      </c>
      <c r="L1" s="462" t="s">
        <v>403</v>
      </c>
      <c r="M1" s="358" t="s">
        <v>501</v>
      </c>
      <c r="N1" s="372" t="s">
        <v>500</v>
      </c>
      <c r="O1" s="357" t="s">
        <v>531</v>
      </c>
      <c r="P1" s="480" t="s">
        <v>456</v>
      </c>
      <c r="Q1" s="455" t="s">
        <v>461</v>
      </c>
      <c r="R1" s="454" t="s">
        <v>457</v>
      </c>
      <c r="S1" s="429"/>
    </row>
    <row r="2" spans="1:20" ht="14.1" customHeight="1">
      <c r="B2" s="41"/>
      <c r="D2" s="106" t="s">
        <v>134</v>
      </c>
      <c r="E2" s="106"/>
      <c r="F2" s="267"/>
      <c r="G2" s="295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20">
      <c r="A3" s="33" t="s">
        <v>0</v>
      </c>
      <c r="B3" s="41"/>
      <c r="C3" s="52">
        <v>100000</v>
      </c>
      <c r="D3" s="13" t="s">
        <v>163</v>
      </c>
      <c r="E3" s="416"/>
      <c r="F3" s="277">
        <f t="shared" ref="F3" si="0">F43</f>
        <v>3188265</v>
      </c>
      <c r="G3" s="296">
        <f t="shared" ref="G3" si="1">G43</f>
        <v>3105919</v>
      </c>
      <c r="H3" s="257">
        <f t="shared" ref="H3:L3" si="2">H43</f>
        <v>3416536</v>
      </c>
      <c r="I3" s="257">
        <f t="shared" si="2"/>
        <v>3488513</v>
      </c>
      <c r="J3" s="257">
        <f t="shared" si="2"/>
        <v>0</v>
      </c>
      <c r="K3" s="257">
        <f t="shared" si="2"/>
        <v>3502646</v>
      </c>
      <c r="L3" s="526">
        <f t="shared" si="2"/>
        <v>3064820</v>
      </c>
      <c r="M3" s="506"/>
      <c r="N3" s="506"/>
      <c r="O3" s="257">
        <f t="shared" ref="O3" si="3">O43</f>
        <v>0</v>
      </c>
      <c r="P3" s="362">
        <f t="shared" ref="P3:Q3" si="4">P43</f>
        <v>2886000</v>
      </c>
      <c r="Q3" s="362">
        <f t="shared" si="4"/>
        <v>2891500</v>
      </c>
      <c r="R3" s="362">
        <f t="shared" ref="R3" si="5">R43</f>
        <v>2456000</v>
      </c>
      <c r="S3" s="33"/>
      <c r="T3" s="50"/>
    </row>
    <row r="4" spans="1:20" ht="9" customHeight="1" outlineLevel="1">
      <c r="B4" s="41"/>
      <c r="F4" s="269"/>
      <c r="G4" s="297"/>
      <c r="H4" s="213"/>
      <c r="L4" s="527"/>
      <c r="M4" s="505"/>
      <c r="N4" s="505"/>
      <c r="O4" s="505"/>
      <c r="P4" s="268"/>
      <c r="Q4" s="268"/>
      <c r="R4" s="268"/>
    </row>
    <row r="5" spans="1:20" outlineLevel="1">
      <c r="A5" s="33" t="s">
        <v>0</v>
      </c>
      <c r="B5" s="41"/>
      <c r="C5" s="127">
        <v>110000</v>
      </c>
      <c r="D5" s="16" t="s">
        <v>14</v>
      </c>
      <c r="E5" s="417"/>
      <c r="F5" s="269"/>
      <c r="G5" s="297"/>
      <c r="H5" s="213">
        <f>H16</f>
        <v>2588073</v>
      </c>
      <c r="I5" s="213">
        <v>2295893</v>
      </c>
      <c r="J5" s="213"/>
      <c r="K5" s="213">
        <f t="shared" ref="K5:R5" si="6">K16</f>
        <v>2295893</v>
      </c>
      <c r="L5" s="297">
        <f>L16</f>
        <v>1887000</v>
      </c>
      <c r="M5" s="213"/>
      <c r="N5" s="187"/>
      <c r="O5" s="213">
        <f t="shared" ref="O5" si="7">O16</f>
        <v>0</v>
      </c>
      <c r="P5" s="213">
        <f t="shared" si="6"/>
        <v>1887000</v>
      </c>
      <c r="Q5" s="213">
        <f t="shared" si="6"/>
        <v>1887000</v>
      </c>
      <c r="R5" s="213">
        <f t="shared" si="6"/>
        <v>1887000</v>
      </c>
    </row>
    <row r="6" spans="1:20" outlineLevel="2">
      <c r="A6" s="33" t="s">
        <v>136</v>
      </c>
      <c r="B6" s="41">
        <v>1000</v>
      </c>
      <c r="C6" s="127">
        <v>110001</v>
      </c>
      <c r="D6" s="12" t="s">
        <v>569</v>
      </c>
      <c r="F6" s="278">
        <v>1676239</v>
      </c>
      <c r="G6" s="298">
        <v>1691868</v>
      </c>
      <c r="H6" s="215">
        <v>1719085</v>
      </c>
      <c r="I6" s="213">
        <v>1719084</v>
      </c>
      <c r="J6" s="213">
        <v>0</v>
      </c>
      <c r="K6" s="213">
        <f>I6+J6</f>
        <v>1719084</v>
      </c>
      <c r="L6" s="528">
        <f>506000-L12</f>
        <v>414000</v>
      </c>
      <c r="M6" s="187"/>
      <c r="N6" s="187"/>
      <c r="O6" s="213">
        <f>M6+N6</f>
        <v>0</v>
      </c>
      <c r="P6" s="528">
        <f>506000-P12</f>
        <v>421000</v>
      </c>
      <c r="Q6" s="528">
        <f>506000-Q12</f>
        <v>436000</v>
      </c>
      <c r="R6" s="269">
        <f>506000-R12</f>
        <v>456000</v>
      </c>
      <c r="S6" s="553"/>
    </row>
    <row r="7" spans="1:20" outlineLevel="2">
      <c r="B7" s="41"/>
      <c r="C7" s="128">
        <v>110002</v>
      </c>
      <c r="D7" s="192" t="s">
        <v>436</v>
      </c>
      <c r="E7" s="158" t="s">
        <v>458</v>
      </c>
      <c r="F7" s="278"/>
      <c r="G7" s="299"/>
      <c r="H7" s="213"/>
      <c r="I7" s="213"/>
      <c r="J7" s="213"/>
      <c r="K7" s="213"/>
      <c r="L7" s="528">
        <v>1366000</v>
      </c>
      <c r="M7" s="187"/>
      <c r="N7" s="187"/>
      <c r="O7" s="213"/>
      <c r="P7" s="269">
        <v>1366000</v>
      </c>
      <c r="Q7" s="269">
        <v>1366000</v>
      </c>
      <c r="R7" s="269">
        <v>1366000</v>
      </c>
    </row>
    <row r="8" spans="1:20" outlineLevel="2">
      <c r="A8" s="33" t="s">
        <v>136</v>
      </c>
      <c r="B8" s="41">
        <v>1010</v>
      </c>
      <c r="C8" s="127">
        <v>110003</v>
      </c>
      <c r="D8" s="12" t="s">
        <v>202</v>
      </c>
      <c r="F8" s="278">
        <v>10000</v>
      </c>
      <c r="G8" s="299">
        <v>7677</v>
      </c>
      <c r="H8" s="213">
        <v>8000</v>
      </c>
      <c r="I8" s="354">
        <v>5374</v>
      </c>
      <c r="J8" s="408"/>
      <c r="K8" s="213">
        <f t="shared" ref="K8:K15" si="8">I8+J8</f>
        <v>5374</v>
      </c>
      <c r="L8" s="528">
        <v>0</v>
      </c>
      <c r="M8" s="187"/>
      <c r="N8" s="187"/>
      <c r="O8" s="213">
        <f t="shared" ref="O8:O15" si="9">M8+N8</f>
        <v>0</v>
      </c>
      <c r="P8" s="269">
        <v>0</v>
      </c>
      <c r="Q8" s="269">
        <v>0</v>
      </c>
      <c r="R8" s="269">
        <v>0</v>
      </c>
    </row>
    <row r="9" spans="1:20" outlineLevel="2">
      <c r="A9" s="33" t="s">
        <v>136</v>
      </c>
      <c r="B9" s="41">
        <v>1011</v>
      </c>
      <c r="C9" s="127">
        <v>110005</v>
      </c>
      <c r="D9" s="192" t="s">
        <v>203</v>
      </c>
      <c r="F9" s="278">
        <v>3000</v>
      </c>
      <c r="G9" s="298">
        <v>2785</v>
      </c>
      <c r="H9" s="215">
        <v>4000</v>
      </c>
      <c r="I9" s="213">
        <v>5498</v>
      </c>
      <c r="J9" s="354"/>
      <c r="K9" s="213">
        <f t="shared" si="8"/>
        <v>5498</v>
      </c>
      <c r="L9" s="528">
        <v>3000</v>
      </c>
      <c r="M9" s="187"/>
      <c r="N9" s="187"/>
      <c r="O9" s="213">
        <f t="shared" si="9"/>
        <v>0</v>
      </c>
      <c r="P9" s="269">
        <v>3000</v>
      </c>
      <c r="Q9" s="269">
        <v>3000</v>
      </c>
      <c r="R9" s="269">
        <v>3000</v>
      </c>
    </row>
    <row r="10" spans="1:20" outlineLevel="2">
      <c r="A10" s="33" t="s">
        <v>136</v>
      </c>
      <c r="B10" s="44">
        <v>1012</v>
      </c>
      <c r="C10" s="127">
        <v>110007</v>
      </c>
      <c r="D10" s="192" t="s">
        <v>306</v>
      </c>
      <c r="F10" s="278">
        <v>4000</v>
      </c>
      <c r="G10" s="298">
        <v>9507</v>
      </c>
      <c r="H10" s="215">
        <v>5000</v>
      </c>
      <c r="I10" s="213">
        <v>16332</v>
      </c>
      <c r="J10" s="213">
        <v>0</v>
      </c>
      <c r="K10" s="213">
        <f t="shared" si="8"/>
        <v>16332</v>
      </c>
      <c r="L10" s="528">
        <v>12000</v>
      </c>
      <c r="M10" s="187"/>
      <c r="N10" s="187"/>
      <c r="O10" s="213">
        <f t="shared" si="9"/>
        <v>0</v>
      </c>
      <c r="P10" s="269">
        <v>12000</v>
      </c>
      <c r="Q10" s="269">
        <v>12000</v>
      </c>
      <c r="R10" s="269">
        <v>12000</v>
      </c>
    </row>
    <row r="11" spans="1:20" outlineLevel="2">
      <c r="A11" s="33" t="s">
        <v>136</v>
      </c>
      <c r="B11" s="44">
        <v>1018</v>
      </c>
      <c r="C11" s="127">
        <v>110018</v>
      </c>
      <c r="D11" s="67" t="s">
        <v>175</v>
      </c>
      <c r="E11" s="50"/>
      <c r="F11" s="279">
        <v>220625</v>
      </c>
      <c r="G11" s="299">
        <v>220625</v>
      </c>
      <c r="H11" s="170">
        <v>220625</v>
      </c>
      <c r="I11" s="213">
        <v>220625</v>
      </c>
      <c r="J11" s="213">
        <v>0</v>
      </c>
      <c r="K11" s="213">
        <f t="shared" si="8"/>
        <v>220625</v>
      </c>
      <c r="L11" s="528">
        <v>0</v>
      </c>
      <c r="M11" s="187"/>
      <c r="N11" s="187"/>
      <c r="O11" s="213">
        <f t="shared" si="9"/>
        <v>0</v>
      </c>
      <c r="P11" s="269">
        <v>0</v>
      </c>
      <c r="Q11" s="269">
        <v>0</v>
      </c>
      <c r="R11" s="269">
        <v>0</v>
      </c>
    </row>
    <row r="12" spans="1:20" outlineLevel="2">
      <c r="A12" s="33" t="s">
        <v>136</v>
      </c>
      <c r="B12" s="44">
        <v>1019</v>
      </c>
      <c r="C12" s="127">
        <v>110019</v>
      </c>
      <c r="D12" s="192" t="s">
        <v>200</v>
      </c>
      <c r="E12" s="158"/>
      <c r="F12" s="278">
        <v>161000</v>
      </c>
      <c r="G12" s="298">
        <v>158014</v>
      </c>
      <c r="H12" s="213">
        <v>159000</v>
      </c>
      <c r="I12" s="213">
        <v>158980</v>
      </c>
      <c r="J12" s="213">
        <v>0</v>
      </c>
      <c r="K12" s="213">
        <f t="shared" si="8"/>
        <v>158980</v>
      </c>
      <c r="L12" s="528">
        <v>92000</v>
      </c>
      <c r="M12" s="187"/>
      <c r="N12" s="187"/>
      <c r="O12" s="213">
        <f t="shared" si="9"/>
        <v>0</v>
      </c>
      <c r="P12" s="269">
        <v>85000</v>
      </c>
      <c r="Q12" s="269">
        <v>70000</v>
      </c>
      <c r="R12" s="269">
        <v>50000</v>
      </c>
    </row>
    <row r="13" spans="1:20" outlineLevel="2">
      <c r="B13" s="44">
        <v>1020</v>
      </c>
      <c r="C13" s="128">
        <v>110020</v>
      </c>
      <c r="D13" s="192" t="s">
        <v>183</v>
      </c>
      <c r="F13" s="278">
        <v>0</v>
      </c>
      <c r="G13" s="298">
        <v>0</v>
      </c>
      <c r="H13" s="215">
        <v>302363</v>
      </c>
      <c r="I13" s="213">
        <v>0</v>
      </c>
      <c r="J13" s="170">
        <v>0</v>
      </c>
      <c r="K13" s="213">
        <f t="shared" si="8"/>
        <v>0</v>
      </c>
      <c r="L13" s="411">
        <v>0</v>
      </c>
      <c r="M13" s="139"/>
      <c r="N13" s="139"/>
      <c r="O13" s="213">
        <f t="shared" si="9"/>
        <v>0</v>
      </c>
      <c r="P13" s="270">
        <v>0</v>
      </c>
      <c r="Q13" s="270">
        <v>0</v>
      </c>
      <c r="R13" s="270">
        <v>0</v>
      </c>
    </row>
    <row r="14" spans="1:20" outlineLevel="2">
      <c r="A14" s="33" t="s">
        <v>136</v>
      </c>
      <c r="B14" s="41">
        <v>1710</v>
      </c>
      <c r="C14" s="128">
        <v>110021</v>
      </c>
      <c r="D14" s="192" t="s">
        <v>199</v>
      </c>
      <c r="F14" s="278">
        <v>170000</v>
      </c>
      <c r="G14" s="298">
        <v>170000</v>
      </c>
      <c r="H14" s="213">
        <v>170000</v>
      </c>
      <c r="I14" s="213">
        <v>170000</v>
      </c>
      <c r="J14" s="213"/>
      <c r="K14" s="213">
        <f t="shared" si="8"/>
        <v>170000</v>
      </c>
      <c r="L14" s="528">
        <v>0</v>
      </c>
      <c r="M14" s="187"/>
      <c r="N14" s="187"/>
      <c r="O14" s="213">
        <f t="shared" si="9"/>
        <v>0</v>
      </c>
      <c r="P14" s="269">
        <v>0</v>
      </c>
      <c r="Q14" s="269">
        <v>0</v>
      </c>
      <c r="R14" s="269">
        <v>0</v>
      </c>
    </row>
    <row r="15" spans="1:20" outlineLevel="2">
      <c r="A15" s="33" t="s">
        <v>136</v>
      </c>
      <c r="B15" s="41">
        <v>1715</v>
      </c>
      <c r="C15" s="128">
        <v>110098</v>
      </c>
      <c r="D15" s="192" t="s">
        <v>1</v>
      </c>
      <c r="F15" s="280">
        <v>0</v>
      </c>
      <c r="G15" s="300">
        <v>0</v>
      </c>
      <c r="H15" s="216">
        <v>0</v>
      </c>
      <c r="I15" s="216">
        <v>0</v>
      </c>
      <c r="J15" s="216">
        <v>0</v>
      </c>
      <c r="K15" s="216">
        <f t="shared" si="8"/>
        <v>0</v>
      </c>
      <c r="L15" s="554">
        <v>0</v>
      </c>
      <c r="M15" s="523"/>
      <c r="N15" s="523"/>
      <c r="O15" s="216">
        <f t="shared" si="9"/>
        <v>0</v>
      </c>
      <c r="P15" s="360">
        <v>0</v>
      </c>
      <c r="Q15" s="360">
        <v>0</v>
      </c>
      <c r="R15" s="360">
        <v>0</v>
      </c>
      <c r="S15" s="85"/>
    </row>
    <row r="16" spans="1:20" outlineLevel="2">
      <c r="A16" s="33" t="s">
        <v>2</v>
      </c>
      <c r="B16" s="41">
        <v>1049</v>
      </c>
      <c r="C16" s="128">
        <v>119999</v>
      </c>
      <c r="D16" s="16" t="s">
        <v>3</v>
      </c>
      <c r="F16" s="277">
        <f t="shared" ref="F16:R16" si="10">SUM(F6:F15)</f>
        <v>2244864</v>
      </c>
      <c r="G16" s="296">
        <f t="shared" si="10"/>
        <v>2260476</v>
      </c>
      <c r="H16" s="218">
        <f t="shared" si="10"/>
        <v>2588073</v>
      </c>
      <c r="I16" s="218">
        <f t="shared" si="10"/>
        <v>2295893</v>
      </c>
      <c r="J16" s="218">
        <f t="shared" si="10"/>
        <v>0</v>
      </c>
      <c r="K16" s="218">
        <f t="shared" si="10"/>
        <v>2295893</v>
      </c>
      <c r="L16" s="529">
        <f>SUM(L6:L15)</f>
        <v>1887000</v>
      </c>
      <c r="M16" s="218">
        <f t="shared" si="10"/>
        <v>0</v>
      </c>
      <c r="N16" s="260">
        <f t="shared" si="10"/>
        <v>0</v>
      </c>
      <c r="O16" s="218">
        <f t="shared" ref="O16" si="11">SUM(O6:O15)</f>
        <v>0</v>
      </c>
      <c r="P16" s="361">
        <f t="shared" si="10"/>
        <v>1887000</v>
      </c>
      <c r="Q16" s="361">
        <f t="shared" si="10"/>
        <v>1887000</v>
      </c>
      <c r="R16" s="361">
        <f t="shared" si="10"/>
        <v>1887000</v>
      </c>
    </row>
    <row r="17" spans="1:20" ht="9" customHeight="1" outlineLevel="1">
      <c r="B17" s="41"/>
      <c r="D17" s="16"/>
      <c r="F17" s="269"/>
      <c r="G17" s="297"/>
      <c r="H17" s="213"/>
      <c r="I17" s="6"/>
      <c r="J17" s="6"/>
      <c r="K17" s="6"/>
      <c r="L17" s="527"/>
      <c r="M17" s="505"/>
      <c r="N17" s="505"/>
      <c r="O17" s="505"/>
      <c r="P17" s="268"/>
      <c r="Q17" s="268"/>
      <c r="R17" s="268"/>
    </row>
    <row r="18" spans="1:20" outlineLevel="1" collapsed="1">
      <c r="A18" s="33" t="s">
        <v>0</v>
      </c>
      <c r="B18" s="41"/>
      <c r="C18" s="127">
        <v>120000</v>
      </c>
      <c r="D18" s="16" t="s">
        <v>152</v>
      </c>
      <c r="E18" s="417"/>
      <c r="F18" s="269"/>
      <c r="G18" s="297"/>
      <c r="H18" s="213">
        <f>H23</f>
        <v>161000</v>
      </c>
      <c r="I18" s="213">
        <f t="shared" ref="I18:R18" si="12">I23</f>
        <v>167502</v>
      </c>
      <c r="J18" s="213">
        <f t="shared" si="12"/>
        <v>0</v>
      </c>
      <c r="K18" s="213">
        <f t="shared" si="12"/>
        <v>167502</v>
      </c>
      <c r="L18" s="303">
        <f t="shared" si="12"/>
        <v>151600</v>
      </c>
      <c r="M18" s="215"/>
      <c r="N18" s="139"/>
      <c r="O18" s="213">
        <f t="shared" ref="O18" si="13">O23</f>
        <v>0</v>
      </c>
      <c r="P18" s="215">
        <f t="shared" si="12"/>
        <v>191500</v>
      </c>
      <c r="Q18" s="215">
        <f t="shared" si="12"/>
        <v>191500</v>
      </c>
      <c r="R18" s="215">
        <f t="shared" si="12"/>
        <v>191500</v>
      </c>
    </row>
    <row r="19" spans="1:20" hidden="1" outlineLevel="2">
      <c r="A19" s="33" t="s">
        <v>136</v>
      </c>
      <c r="B19" s="44">
        <v>1414</v>
      </c>
      <c r="C19" s="127">
        <v>120001</v>
      </c>
      <c r="D19" s="12" t="s">
        <v>121</v>
      </c>
      <c r="E19" s="158"/>
      <c r="F19" s="278">
        <v>0</v>
      </c>
      <c r="G19" s="298">
        <v>0</v>
      </c>
      <c r="H19" s="215">
        <v>35000</v>
      </c>
      <c r="I19" s="213">
        <v>55324</v>
      </c>
      <c r="J19" s="215"/>
      <c r="K19" s="213">
        <f>I19+J19</f>
        <v>55324</v>
      </c>
      <c r="L19" s="411">
        <f>32000+3750</f>
        <v>35750</v>
      </c>
      <c r="M19" s="139"/>
      <c r="N19" s="139"/>
      <c r="O19" s="213">
        <f>M19+N19</f>
        <v>0</v>
      </c>
      <c r="P19" s="270">
        <f>40000+3750</f>
        <v>43750</v>
      </c>
      <c r="Q19" s="270">
        <f>40000+3750</f>
        <v>43750</v>
      </c>
      <c r="R19" s="270">
        <f>40000+3750</f>
        <v>43750</v>
      </c>
      <c r="S19" s="430"/>
      <c r="T19" s="430"/>
    </row>
    <row r="20" spans="1:20" hidden="1" outlineLevel="2">
      <c r="A20" s="33" t="s">
        <v>136</v>
      </c>
      <c r="B20" s="44">
        <v>1415</v>
      </c>
      <c r="C20" s="127">
        <v>120002</v>
      </c>
      <c r="D20" s="12" t="s">
        <v>119</v>
      </c>
      <c r="E20" s="158"/>
      <c r="F20" s="278">
        <v>40000</v>
      </c>
      <c r="G20" s="298">
        <v>31966</v>
      </c>
      <c r="H20" s="215">
        <v>38000</v>
      </c>
      <c r="I20" s="213">
        <v>16256</v>
      </c>
      <c r="J20" s="215"/>
      <c r="K20" s="213">
        <f>I20+J20</f>
        <v>16256</v>
      </c>
      <c r="L20" s="411">
        <f>18000+3750</f>
        <v>21750</v>
      </c>
      <c r="M20" s="139"/>
      <c r="N20" s="139"/>
      <c r="O20" s="213">
        <f>M20+N20</f>
        <v>0</v>
      </c>
      <c r="P20" s="270">
        <f>20000+3750</f>
        <v>23750</v>
      </c>
      <c r="Q20" s="270">
        <f>20000+3750</f>
        <v>23750</v>
      </c>
      <c r="R20" s="270">
        <f>20000+3750</f>
        <v>23750</v>
      </c>
      <c r="S20" s="430"/>
      <c r="T20" s="430"/>
    </row>
    <row r="21" spans="1:20" hidden="1" outlineLevel="2">
      <c r="A21" s="33" t="s">
        <v>136</v>
      </c>
      <c r="B21" s="44">
        <v>1417</v>
      </c>
      <c r="C21" s="127">
        <v>120003</v>
      </c>
      <c r="D21" s="12" t="s">
        <v>120</v>
      </c>
      <c r="E21" s="158"/>
      <c r="F21" s="278">
        <v>100000</v>
      </c>
      <c r="G21" s="298">
        <v>31249</v>
      </c>
      <c r="H21" s="215">
        <v>43000</v>
      </c>
      <c r="I21" s="145">
        <v>45294</v>
      </c>
      <c r="J21" s="145">
        <v>0</v>
      </c>
      <c r="K21" s="213">
        <f>I21+J21</f>
        <v>45294</v>
      </c>
      <c r="L21" s="528">
        <f>27700+6700</f>
        <v>34400</v>
      </c>
      <c r="M21" s="187"/>
      <c r="N21" s="187"/>
      <c r="O21" s="213">
        <f>M21+N21</f>
        <v>0</v>
      </c>
      <c r="P21" s="528">
        <f>45000+7700</f>
        <v>52700</v>
      </c>
      <c r="Q21" s="528">
        <f>45000+7700</f>
        <v>52700</v>
      </c>
      <c r="R21" s="269">
        <f>45000+7700</f>
        <v>52700</v>
      </c>
      <c r="S21" s="553"/>
      <c r="T21" s="260"/>
    </row>
    <row r="22" spans="1:20" hidden="1" outlineLevel="2">
      <c r="A22" s="33" t="s">
        <v>136</v>
      </c>
      <c r="B22" s="44">
        <v>1418</v>
      </c>
      <c r="C22" s="127">
        <v>120004</v>
      </c>
      <c r="D22" s="12" t="s">
        <v>122</v>
      </c>
      <c r="E22" s="158"/>
      <c r="F22" s="280">
        <v>110000</v>
      </c>
      <c r="G22" s="300">
        <v>129650</v>
      </c>
      <c r="H22" s="217">
        <v>45000</v>
      </c>
      <c r="I22" s="259">
        <v>50628</v>
      </c>
      <c r="J22" s="259">
        <v>0</v>
      </c>
      <c r="K22" s="216">
        <f>I22+J22</f>
        <v>50628</v>
      </c>
      <c r="L22" s="530">
        <f>43000+16700</f>
        <v>59700</v>
      </c>
      <c r="M22" s="216"/>
      <c r="N22" s="216"/>
      <c r="O22" s="216">
        <f>M22+N22</f>
        <v>0</v>
      </c>
      <c r="P22" s="530">
        <f>50000+21300</f>
        <v>71300</v>
      </c>
      <c r="Q22" s="530">
        <f>50000+21300</f>
        <v>71300</v>
      </c>
      <c r="R22" s="360">
        <f>50000+21300</f>
        <v>71300</v>
      </c>
      <c r="S22" s="553"/>
    </row>
    <row r="23" spans="1:20" hidden="1" outlineLevel="2">
      <c r="A23" s="33" t="s">
        <v>2</v>
      </c>
      <c r="B23" s="44">
        <v>1419</v>
      </c>
      <c r="C23" s="127">
        <v>129999</v>
      </c>
      <c r="D23" s="16" t="s">
        <v>204</v>
      </c>
      <c r="E23" s="158"/>
      <c r="F23" s="277">
        <f t="shared" ref="F23:G23" si="14">SUM(F19:F22)</f>
        <v>250000</v>
      </c>
      <c r="G23" s="296">
        <f t="shared" si="14"/>
        <v>192865</v>
      </c>
      <c r="H23" s="218">
        <f t="shared" ref="H23:N23" si="15">SUM(H19:H22)</f>
        <v>161000</v>
      </c>
      <c r="I23" s="218">
        <f t="shared" si="15"/>
        <v>167502</v>
      </c>
      <c r="J23" s="218">
        <f t="shared" si="15"/>
        <v>0</v>
      </c>
      <c r="K23" s="218">
        <f t="shared" si="15"/>
        <v>167502</v>
      </c>
      <c r="L23" s="529">
        <f t="shared" si="15"/>
        <v>151600</v>
      </c>
      <c r="M23" s="218">
        <f t="shared" si="15"/>
        <v>0</v>
      </c>
      <c r="N23" s="260">
        <f t="shared" si="15"/>
        <v>0</v>
      </c>
      <c r="O23" s="218">
        <f t="shared" ref="O23" si="16">SUM(O19:O22)</f>
        <v>0</v>
      </c>
      <c r="P23" s="361">
        <f t="shared" ref="P23:Q23" si="17">SUM(P19:P22)</f>
        <v>191500</v>
      </c>
      <c r="Q23" s="361">
        <f t="shared" si="17"/>
        <v>191500</v>
      </c>
      <c r="R23" s="361">
        <f t="shared" ref="R23" si="18">SUM(R19:R22)</f>
        <v>191500</v>
      </c>
    </row>
    <row r="24" spans="1:20" ht="9" customHeight="1" outlineLevel="1">
      <c r="B24" s="57"/>
      <c r="E24" s="158"/>
      <c r="F24" s="269"/>
      <c r="G24" s="297"/>
      <c r="H24" s="213"/>
      <c r="I24" s="6"/>
      <c r="J24" s="6"/>
      <c r="K24" s="6"/>
      <c r="L24" s="527"/>
      <c r="M24" s="505"/>
      <c r="N24" s="505"/>
      <c r="O24" s="505"/>
      <c r="P24" s="268"/>
      <c r="Q24" s="268"/>
      <c r="R24" s="268"/>
    </row>
    <row r="25" spans="1:20" outlineLevel="1" collapsed="1">
      <c r="A25" s="33" t="s">
        <v>0</v>
      </c>
      <c r="B25" s="57"/>
      <c r="C25" s="127">
        <v>130000</v>
      </c>
      <c r="D25" s="16" t="s">
        <v>192</v>
      </c>
      <c r="E25" s="417"/>
      <c r="F25" s="269"/>
      <c r="G25" s="297"/>
      <c r="H25" s="213">
        <f>H27</f>
        <v>154700</v>
      </c>
      <c r="I25" s="213">
        <f t="shared" ref="I25:R25" si="19">I27</f>
        <v>150687</v>
      </c>
      <c r="J25" s="213">
        <f t="shared" si="19"/>
        <v>0</v>
      </c>
      <c r="K25" s="213">
        <f t="shared" si="19"/>
        <v>164820</v>
      </c>
      <c r="L25" s="297">
        <f t="shared" si="19"/>
        <v>164820</v>
      </c>
      <c r="M25" s="213"/>
      <c r="N25" s="187"/>
      <c r="O25" s="213">
        <f t="shared" ref="O25" si="20">O27</f>
        <v>0</v>
      </c>
      <c r="P25" s="213">
        <f t="shared" si="19"/>
        <v>165000</v>
      </c>
      <c r="Q25" s="213">
        <f t="shared" si="19"/>
        <v>165000</v>
      </c>
      <c r="R25" s="213">
        <f t="shared" si="19"/>
        <v>165000</v>
      </c>
    </row>
    <row r="26" spans="1:20" hidden="1" outlineLevel="2">
      <c r="A26" s="33" t="s">
        <v>136</v>
      </c>
      <c r="B26" s="41">
        <v>1800</v>
      </c>
      <c r="C26" s="127">
        <v>130001</v>
      </c>
      <c r="D26" s="67" t="s">
        <v>64</v>
      </c>
      <c r="E26" s="85"/>
      <c r="F26" s="280">
        <v>80000</v>
      </c>
      <c r="G26" s="300">
        <v>130215</v>
      </c>
      <c r="H26" s="217">
        <v>154700</v>
      </c>
      <c r="I26" s="216">
        <v>150687</v>
      </c>
      <c r="J26" s="217">
        <v>0</v>
      </c>
      <c r="K26" s="216">
        <f>'2018 Sommerlejr'!C8</f>
        <v>164820</v>
      </c>
      <c r="L26" s="530">
        <f>'2018 Sommerlejr'!C8</f>
        <v>164820</v>
      </c>
      <c r="M26" s="216"/>
      <c r="N26" s="216"/>
      <c r="O26" s="216">
        <f>M26+N26</f>
        <v>0</v>
      </c>
      <c r="P26" s="360">
        <v>165000</v>
      </c>
      <c r="Q26" s="360">
        <v>165000</v>
      </c>
      <c r="R26" s="360">
        <v>165000</v>
      </c>
    </row>
    <row r="27" spans="1:20" hidden="1" outlineLevel="2">
      <c r="A27" s="33" t="s">
        <v>2</v>
      </c>
      <c r="B27" s="41"/>
      <c r="C27" s="127">
        <v>139999</v>
      </c>
      <c r="D27" s="67" t="s">
        <v>299</v>
      </c>
      <c r="E27" s="50"/>
      <c r="F27" s="277">
        <f t="shared" ref="F27:G27" si="21">F26</f>
        <v>80000</v>
      </c>
      <c r="G27" s="296">
        <f t="shared" si="21"/>
        <v>130215</v>
      </c>
      <c r="H27" s="223">
        <f t="shared" ref="H27:N27" si="22">H26</f>
        <v>154700</v>
      </c>
      <c r="I27" s="223">
        <f t="shared" si="22"/>
        <v>150687</v>
      </c>
      <c r="J27" s="223">
        <f t="shared" si="22"/>
        <v>0</v>
      </c>
      <c r="K27" s="223">
        <f t="shared" si="22"/>
        <v>164820</v>
      </c>
      <c r="L27" s="531">
        <f t="shared" si="22"/>
        <v>164820</v>
      </c>
      <c r="M27" s="223">
        <f t="shared" si="22"/>
        <v>0</v>
      </c>
      <c r="N27" s="252">
        <f t="shared" si="22"/>
        <v>0</v>
      </c>
      <c r="O27" s="223">
        <f t="shared" ref="O27" si="23">O26</f>
        <v>0</v>
      </c>
      <c r="P27" s="271">
        <f t="shared" ref="P27:Q27" si="24">P26</f>
        <v>165000</v>
      </c>
      <c r="Q27" s="271">
        <f t="shared" si="24"/>
        <v>165000</v>
      </c>
      <c r="R27" s="271">
        <f t="shared" ref="R27" si="25">R26</f>
        <v>165000</v>
      </c>
    </row>
    <row r="28" spans="1:20" ht="9" customHeight="1" outlineLevel="1">
      <c r="B28" s="41"/>
      <c r="D28" s="67"/>
      <c r="E28" s="50"/>
      <c r="F28" s="269"/>
      <c r="G28" s="297"/>
      <c r="H28" s="213"/>
      <c r="I28" s="6"/>
      <c r="J28" s="6"/>
      <c r="K28" s="6"/>
      <c r="L28" s="527"/>
      <c r="M28" s="505"/>
      <c r="N28" s="505"/>
      <c r="O28" s="505"/>
      <c r="P28" s="268"/>
      <c r="Q28" s="268"/>
      <c r="R28" s="268"/>
    </row>
    <row r="29" spans="1:20" outlineLevel="1" collapsed="1">
      <c r="A29" s="33" t="s">
        <v>0</v>
      </c>
      <c r="B29" s="41"/>
      <c r="C29" s="127">
        <v>140000</v>
      </c>
      <c r="D29" s="66" t="s">
        <v>205</v>
      </c>
      <c r="E29" s="417"/>
      <c r="F29" s="269"/>
      <c r="G29" s="297"/>
      <c r="H29" s="213">
        <f>H31</f>
        <v>302363</v>
      </c>
      <c r="I29" s="213">
        <f t="shared" ref="I29:Q29" si="26">I31</f>
        <v>475000</v>
      </c>
      <c r="J29" s="213">
        <f t="shared" si="26"/>
        <v>0</v>
      </c>
      <c r="K29" s="213">
        <f t="shared" si="26"/>
        <v>475000</v>
      </c>
      <c r="L29" s="297">
        <f t="shared" si="26"/>
        <v>0</v>
      </c>
      <c r="M29" s="213"/>
      <c r="N29" s="187"/>
      <c r="O29" s="213">
        <f t="shared" ref="O29" si="27">O31</f>
        <v>0</v>
      </c>
      <c r="P29" s="213">
        <f t="shared" si="26"/>
        <v>0</v>
      </c>
      <c r="Q29" s="213">
        <f t="shared" si="26"/>
        <v>0</v>
      </c>
      <c r="R29" s="215">
        <v>0</v>
      </c>
    </row>
    <row r="30" spans="1:20" hidden="1" outlineLevel="2">
      <c r="A30" s="33" t="s">
        <v>136</v>
      </c>
      <c r="B30" s="41">
        <v>51198</v>
      </c>
      <c r="C30" s="127">
        <v>140001</v>
      </c>
      <c r="D30" s="67" t="s">
        <v>206</v>
      </c>
      <c r="E30" s="404" t="s">
        <v>459</v>
      </c>
      <c r="F30" s="280">
        <v>250401</v>
      </c>
      <c r="G30" s="300">
        <v>250401</v>
      </c>
      <c r="H30" s="217">
        <v>302363</v>
      </c>
      <c r="I30" s="259">
        <v>475000</v>
      </c>
      <c r="J30" s="259">
        <v>0</v>
      </c>
      <c r="K30" s="216">
        <f>I30+J30</f>
        <v>475000</v>
      </c>
      <c r="L30" s="532">
        <v>0</v>
      </c>
      <c r="M30" s="217"/>
      <c r="N30" s="217"/>
      <c r="O30" s="216">
        <f>M30+N30</f>
        <v>0</v>
      </c>
      <c r="P30" s="365">
        <v>0</v>
      </c>
      <c r="Q30" s="365">
        <v>0</v>
      </c>
      <c r="R30" s="217">
        <v>0</v>
      </c>
    </row>
    <row r="31" spans="1:20" hidden="1" outlineLevel="2">
      <c r="A31" s="33" t="s">
        <v>2</v>
      </c>
      <c r="B31" s="41">
        <v>51589</v>
      </c>
      <c r="C31" s="127">
        <v>140598</v>
      </c>
      <c r="D31" s="66" t="s">
        <v>191</v>
      </c>
      <c r="E31" s="50"/>
      <c r="F31" s="277">
        <f t="shared" ref="F31:G31" si="28">F30</f>
        <v>250401</v>
      </c>
      <c r="G31" s="296">
        <f t="shared" si="28"/>
        <v>250401</v>
      </c>
      <c r="H31" s="218">
        <f t="shared" ref="H31:N31" si="29">H30</f>
        <v>302363</v>
      </c>
      <c r="I31" s="218">
        <f t="shared" si="29"/>
        <v>475000</v>
      </c>
      <c r="J31" s="218">
        <f t="shared" si="29"/>
        <v>0</v>
      </c>
      <c r="K31" s="218">
        <f t="shared" si="29"/>
        <v>475000</v>
      </c>
      <c r="L31" s="529">
        <f t="shared" si="29"/>
        <v>0</v>
      </c>
      <c r="M31" s="218">
        <f t="shared" si="29"/>
        <v>0</v>
      </c>
      <c r="N31" s="260">
        <f t="shared" si="29"/>
        <v>0</v>
      </c>
      <c r="O31" s="218">
        <f t="shared" ref="O31" si="30">O30</f>
        <v>0</v>
      </c>
      <c r="P31" s="361">
        <f t="shared" ref="P31:Q31" si="31">P30</f>
        <v>0</v>
      </c>
      <c r="Q31" s="361">
        <f t="shared" si="31"/>
        <v>0</v>
      </c>
      <c r="R31" s="361">
        <f t="shared" ref="R31" si="32">R30</f>
        <v>0</v>
      </c>
    </row>
    <row r="32" spans="1:20" ht="9" customHeight="1" outlineLevel="1">
      <c r="B32" s="41"/>
      <c r="F32" s="269"/>
      <c r="G32" s="297"/>
      <c r="H32" s="213"/>
      <c r="I32" s="6"/>
      <c r="J32" s="6"/>
      <c r="K32" s="6"/>
      <c r="L32" s="527"/>
      <c r="M32" s="505"/>
      <c r="N32" s="505"/>
      <c r="O32" s="505"/>
      <c r="P32" s="268"/>
      <c r="Q32" s="268"/>
      <c r="R32" s="268"/>
    </row>
    <row r="33" spans="1:20" outlineLevel="1" collapsed="1">
      <c r="A33" s="33" t="s">
        <v>0</v>
      </c>
      <c r="B33" s="41"/>
      <c r="C33" s="127">
        <v>150000</v>
      </c>
      <c r="D33" s="16" t="s">
        <v>153</v>
      </c>
      <c r="E33" s="417"/>
      <c r="F33" s="269"/>
      <c r="G33" s="297"/>
      <c r="H33" s="213">
        <f>H41</f>
        <v>210400</v>
      </c>
      <c r="I33" s="213">
        <f t="shared" ref="I33:R33" si="33">I41</f>
        <v>399431</v>
      </c>
      <c r="J33" s="213">
        <f t="shared" si="33"/>
        <v>0</v>
      </c>
      <c r="K33" s="213">
        <f t="shared" si="33"/>
        <v>399431</v>
      </c>
      <c r="L33" s="297">
        <f t="shared" si="33"/>
        <v>861400</v>
      </c>
      <c r="M33" s="213"/>
      <c r="N33" s="187"/>
      <c r="O33" s="213">
        <f t="shared" ref="O33" si="34">O41</f>
        <v>0</v>
      </c>
      <c r="P33" s="213">
        <f t="shared" si="33"/>
        <v>642500</v>
      </c>
      <c r="Q33" s="213">
        <f t="shared" si="33"/>
        <v>648000</v>
      </c>
      <c r="R33" s="213">
        <f t="shared" si="33"/>
        <v>212500</v>
      </c>
    </row>
    <row r="34" spans="1:20" hidden="1" outlineLevel="2">
      <c r="A34" s="33" t="s">
        <v>136</v>
      </c>
      <c r="B34" s="41">
        <v>1050</v>
      </c>
      <c r="C34" s="127">
        <v>150001</v>
      </c>
      <c r="D34" s="12" t="s">
        <v>18</v>
      </c>
      <c r="E34" s="33" t="s">
        <v>469</v>
      </c>
      <c r="F34" s="278">
        <v>50000</v>
      </c>
      <c r="G34" s="298">
        <v>3100</v>
      </c>
      <c r="H34" s="215">
        <v>5000</v>
      </c>
      <c r="I34" s="213">
        <v>0</v>
      </c>
      <c r="J34" s="213">
        <v>0</v>
      </c>
      <c r="K34" s="213">
        <f t="shared" ref="K34:K40" si="35">I34+J34</f>
        <v>0</v>
      </c>
      <c r="L34" s="528">
        <v>440000</v>
      </c>
      <c r="M34" s="187"/>
      <c r="N34" s="187"/>
      <c r="O34" s="213">
        <f t="shared" ref="O34:O40" si="36">M34+N34</f>
        <v>0</v>
      </c>
      <c r="P34" s="269">
        <v>440000</v>
      </c>
      <c r="Q34" s="269">
        <v>440000</v>
      </c>
      <c r="R34" s="269">
        <v>0</v>
      </c>
      <c r="T34" s="187"/>
    </row>
    <row r="35" spans="1:20" hidden="1" outlineLevel="2">
      <c r="A35" s="33" t="s">
        <v>136</v>
      </c>
      <c r="B35" s="44">
        <v>1110</v>
      </c>
      <c r="C35" s="127">
        <v>150002</v>
      </c>
      <c r="D35" s="12" t="s">
        <v>87</v>
      </c>
      <c r="E35" s="33" t="s">
        <v>447</v>
      </c>
      <c r="F35" s="278">
        <v>200000</v>
      </c>
      <c r="G35" s="298">
        <v>100000</v>
      </c>
      <c r="H35" s="215">
        <v>100000</v>
      </c>
      <c r="I35" s="213">
        <v>100000</v>
      </c>
      <c r="J35" s="213">
        <v>0</v>
      </c>
      <c r="K35" s="213">
        <f t="shared" si="35"/>
        <v>100000</v>
      </c>
      <c r="L35" s="528">
        <f>50000</f>
        <v>50000</v>
      </c>
      <c r="M35" s="187"/>
      <c r="N35" s="187"/>
      <c r="O35" s="213">
        <f t="shared" si="36"/>
        <v>0</v>
      </c>
      <c r="P35" s="269">
        <v>50000</v>
      </c>
      <c r="Q35" s="269">
        <v>50000</v>
      </c>
      <c r="R35" s="269">
        <v>50000</v>
      </c>
      <c r="S35" s="33"/>
    </row>
    <row r="36" spans="1:20" hidden="1" outlineLevel="2">
      <c r="A36" s="33" t="s">
        <v>136</v>
      </c>
      <c r="B36" s="41">
        <v>1300</v>
      </c>
      <c r="C36" s="127">
        <v>150003</v>
      </c>
      <c r="D36" s="12" t="s">
        <v>80</v>
      </c>
      <c r="F36" s="278">
        <v>45000</v>
      </c>
      <c r="G36" s="298">
        <v>39600</v>
      </c>
      <c r="H36" s="215">
        <v>41400</v>
      </c>
      <c r="I36" s="213">
        <v>41400</v>
      </c>
      <c r="J36" s="213">
        <v>0</v>
      </c>
      <c r="K36" s="213">
        <f t="shared" si="35"/>
        <v>41400</v>
      </c>
      <c r="L36" s="528">
        <v>44400</v>
      </c>
      <c r="M36" s="187"/>
      <c r="N36" s="187"/>
      <c r="O36" s="213">
        <f t="shared" si="36"/>
        <v>0</v>
      </c>
      <c r="P36" s="269">
        <v>45000</v>
      </c>
      <c r="Q36" s="269">
        <v>46000</v>
      </c>
      <c r="R36" s="269">
        <v>48000</v>
      </c>
    </row>
    <row r="37" spans="1:20" hidden="1" outlineLevel="2">
      <c r="A37" s="33" t="s">
        <v>136</v>
      </c>
      <c r="B37" s="44">
        <v>1201</v>
      </c>
      <c r="C37" s="127">
        <v>150004</v>
      </c>
      <c r="D37" s="12" t="s">
        <v>530</v>
      </c>
      <c r="E37" s="484" t="s">
        <v>529</v>
      </c>
      <c r="F37" s="278">
        <v>12000</v>
      </c>
      <c r="G37" s="298">
        <v>7253</v>
      </c>
      <c r="H37" s="215">
        <v>8000</v>
      </c>
      <c r="I37" s="213">
        <v>13319</v>
      </c>
      <c r="J37" s="213"/>
      <c r="K37" s="213">
        <f t="shared" si="35"/>
        <v>13319</v>
      </c>
      <c r="L37" s="533">
        <v>41000</v>
      </c>
      <c r="M37" s="145"/>
      <c r="N37" s="145"/>
      <c r="O37" s="213">
        <f t="shared" si="36"/>
        <v>0</v>
      </c>
      <c r="P37" s="363">
        <v>17500</v>
      </c>
      <c r="Q37" s="363">
        <v>19000</v>
      </c>
      <c r="R37" s="363">
        <v>19500</v>
      </c>
    </row>
    <row r="38" spans="1:20" hidden="1" outlineLevel="2">
      <c r="B38" s="44">
        <v>3012</v>
      </c>
      <c r="C38" s="127">
        <v>150005</v>
      </c>
      <c r="D38" s="12" t="s">
        <v>528</v>
      </c>
      <c r="E38" s="33" t="s">
        <v>521</v>
      </c>
      <c r="F38" s="278">
        <v>16000</v>
      </c>
      <c r="G38" s="299">
        <v>29975</v>
      </c>
      <c r="H38" s="215">
        <v>16000</v>
      </c>
      <c r="I38" s="213">
        <v>27675</v>
      </c>
      <c r="J38" s="215">
        <v>0</v>
      </c>
      <c r="K38" s="213">
        <f t="shared" si="35"/>
        <v>27675</v>
      </c>
      <c r="L38" s="411">
        <v>38000</v>
      </c>
      <c r="M38" s="139"/>
      <c r="N38" s="139"/>
      <c r="O38" s="213">
        <f t="shared" si="36"/>
        <v>0</v>
      </c>
      <c r="P38" s="270">
        <v>35000</v>
      </c>
      <c r="Q38" s="270">
        <v>38000</v>
      </c>
      <c r="R38" s="270">
        <v>40000</v>
      </c>
      <c r="S38" s="139"/>
      <c r="T38" s="187"/>
    </row>
    <row r="39" spans="1:20" hidden="1" outlineLevel="2">
      <c r="A39" s="33" t="s">
        <v>136</v>
      </c>
      <c r="B39" s="70">
        <v>1900</v>
      </c>
      <c r="C39" s="127">
        <v>150006</v>
      </c>
      <c r="D39" s="12" t="s">
        <v>526</v>
      </c>
      <c r="E39" s="87"/>
      <c r="F39" s="279">
        <v>40000</v>
      </c>
      <c r="G39" s="298">
        <v>81730</v>
      </c>
      <c r="H39" s="170">
        <v>40000</v>
      </c>
      <c r="I39" s="213">
        <v>143814</v>
      </c>
      <c r="J39" s="215"/>
      <c r="K39" s="213">
        <f t="shared" si="35"/>
        <v>143814</v>
      </c>
      <c r="L39" s="534">
        <f>30000+50000+12000+10000+28000</f>
        <v>130000</v>
      </c>
      <c r="M39" s="139"/>
      <c r="N39" s="139"/>
      <c r="O39" s="213">
        <f t="shared" si="36"/>
        <v>0</v>
      </c>
      <c r="P39" s="269">
        <v>0</v>
      </c>
      <c r="Q39" s="269">
        <v>0</v>
      </c>
      <c r="R39" s="269">
        <v>0</v>
      </c>
      <c r="S39" s="338"/>
    </row>
    <row r="40" spans="1:20" hidden="1" outlineLevel="2">
      <c r="A40" s="33" t="s">
        <v>136</v>
      </c>
      <c r="B40" s="70">
        <v>5081</v>
      </c>
      <c r="C40" s="127">
        <v>150007</v>
      </c>
      <c r="D40" s="192" t="s">
        <v>570</v>
      </c>
      <c r="E40" s="50" t="s">
        <v>498</v>
      </c>
      <c r="F40" s="280">
        <v>0</v>
      </c>
      <c r="G40" s="300">
        <v>10304</v>
      </c>
      <c r="H40" s="216">
        <v>0</v>
      </c>
      <c r="I40" s="216">
        <v>73223</v>
      </c>
      <c r="J40" s="217">
        <v>0</v>
      </c>
      <c r="K40" s="216">
        <f t="shared" si="35"/>
        <v>73223</v>
      </c>
      <c r="L40" s="532">
        <f>L207+5000+13000</f>
        <v>118000</v>
      </c>
      <c r="M40" s="216"/>
      <c r="N40" s="216"/>
      <c r="O40" s="216">
        <f t="shared" si="36"/>
        <v>0</v>
      </c>
      <c r="P40" s="360">
        <v>55000</v>
      </c>
      <c r="Q40" s="360">
        <v>55000</v>
      </c>
      <c r="R40" s="360">
        <v>55000</v>
      </c>
      <c r="S40" s="5"/>
    </row>
    <row r="41" spans="1:20" hidden="1" outlineLevel="2">
      <c r="A41" s="33" t="s">
        <v>2</v>
      </c>
      <c r="B41" s="70">
        <v>1899</v>
      </c>
      <c r="C41" s="127">
        <v>150099</v>
      </c>
      <c r="D41" s="16" t="s">
        <v>123</v>
      </c>
      <c r="F41" s="277">
        <f t="shared" ref="F41:L41" si="37">SUM(F34:F40)</f>
        <v>363000</v>
      </c>
      <c r="G41" s="296">
        <f t="shared" si="37"/>
        <v>271962</v>
      </c>
      <c r="H41" s="218">
        <f t="shared" si="37"/>
        <v>210400</v>
      </c>
      <c r="I41" s="218">
        <f t="shared" si="37"/>
        <v>399431</v>
      </c>
      <c r="J41" s="218">
        <f t="shared" si="37"/>
        <v>0</v>
      </c>
      <c r="K41" s="218">
        <f t="shared" si="37"/>
        <v>399431</v>
      </c>
      <c r="L41" s="529">
        <f t="shared" si="37"/>
        <v>861400</v>
      </c>
      <c r="M41" s="218">
        <f t="shared" ref="M41" si="38">SUM(M34:M40)</f>
        <v>0</v>
      </c>
      <c r="N41" s="260">
        <f t="shared" ref="N41" si="39">SUM(N34:N40)</f>
        <v>0</v>
      </c>
      <c r="O41" s="218">
        <f t="shared" ref="O41" si="40">SUM(O34:O40)</f>
        <v>0</v>
      </c>
      <c r="P41" s="361">
        <f>SUM(P34:P40)</f>
        <v>642500</v>
      </c>
      <c r="Q41" s="361">
        <f>SUM(Q34:Q40)</f>
        <v>648000</v>
      </c>
      <c r="R41" s="361">
        <f>SUM(R34:R40)</f>
        <v>212500</v>
      </c>
    </row>
    <row r="42" spans="1:20" ht="9" customHeight="1" outlineLevel="1">
      <c r="B42" s="41"/>
      <c r="F42" s="269"/>
      <c r="G42" s="297"/>
      <c r="H42" s="213"/>
      <c r="I42" s="6"/>
      <c r="J42" s="6"/>
      <c r="K42" s="6"/>
      <c r="L42" s="527"/>
      <c r="M42" s="505"/>
      <c r="N42" s="505"/>
      <c r="O42" s="505"/>
      <c r="P42" s="268"/>
      <c r="Q42" s="268"/>
      <c r="R42" s="268"/>
    </row>
    <row r="43" spans="1:20" outlineLevel="1">
      <c r="A43" s="33" t="s">
        <v>2</v>
      </c>
      <c r="B43" s="41"/>
      <c r="C43" s="129">
        <v>199999</v>
      </c>
      <c r="D43" s="13" t="s">
        <v>4</v>
      </c>
      <c r="E43" s="416"/>
      <c r="F43" s="277">
        <f>F16+F23+F26++F31+F41</f>
        <v>3188265</v>
      </c>
      <c r="G43" s="296">
        <f>G16+G23+G26++G31+G41</f>
        <v>3105919</v>
      </c>
      <c r="H43" s="257">
        <f>H16+H23+H26++H31+H41</f>
        <v>3416536</v>
      </c>
      <c r="I43" s="257">
        <f>I16+I23+I27++I31+I41</f>
        <v>3488513</v>
      </c>
      <c r="J43" s="257">
        <f>J16+J23+J26++J31+J41</f>
        <v>0</v>
      </c>
      <c r="K43" s="257">
        <f>K16+K23+K26++K31+K41</f>
        <v>3502646</v>
      </c>
      <c r="L43" s="526">
        <f>L16+L23+L27++L31+L41</f>
        <v>3064820</v>
      </c>
      <c r="M43" s="506"/>
      <c r="N43" s="506"/>
      <c r="O43" s="506"/>
      <c r="P43" s="362">
        <f>P16+P23+P27++P31+P41</f>
        <v>2886000</v>
      </c>
      <c r="Q43" s="362">
        <f>Q16+Q23+Q27++Q31+Q41</f>
        <v>2891500</v>
      </c>
      <c r="R43" s="362">
        <f>R16+R23+R27++R31+R41</f>
        <v>2456000</v>
      </c>
    </row>
    <row r="44" spans="1:20">
      <c r="A44" s="50" t="s">
        <v>0</v>
      </c>
      <c r="B44" s="41"/>
      <c r="C44" s="107"/>
      <c r="D44" s="193" t="s">
        <v>164</v>
      </c>
      <c r="E44" s="287"/>
      <c r="F44" s="281"/>
      <c r="G44" s="301"/>
      <c r="H44" s="258"/>
      <c r="I44" s="160"/>
      <c r="J44" s="160"/>
      <c r="K44" s="160"/>
      <c r="L44" s="535"/>
      <c r="M44" s="160"/>
      <c r="N44" s="160"/>
      <c r="O44" s="160"/>
      <c r="P44" s="281"/>
      <c r="Q44" s="281"/>
      <c r="R44" s="281"/>
    </row>
    <row r="45" spans="1:20">
      <c r="A45" s="33" t="s">
        <v>0</v>
      </c>
      <c r="B45" s="41"/>
      <c r="C45" s="130">
        <v>200200</v>
      </c>
      <c r="D45" s="61" t="s">
        <v>453</v>
      </c>
      <c r="E45" s="422"/>
      <c r="F45" s="278">
        <f t="shared" ref="F45" si="41">F77</f>
        <v>205691.25</v>
      </c>
      <c r="G45" s="298">
        <f t="shared" ref="G45" si="42">G77</f>
        <v>286336</v>
      </c>
      <c r="H45" s="213">
        <f t="shared" ref="H45:O45" si="43">H77</f>
        <v>208050</v>
      </c>
      <c r="I45" s="213">
        <f t="shared" si="43"/>
        <v>316682</v>
      </c>
      <c r="J45" s="213">
        <f t="shared" si="43"/>
        <v>0</v>
      </c>
      <c r="K45" s="213">
        <f t="shared" si="43"/>
        <v>316682</v>
      </c>
      <c r="L45" s="528">
        <f t="shared" si="43"/>
        <v>180100</v>
      </c>
      <c r="M45" s="213">
        <f t="shared" si="43"/>
        <v>0</v>
      </c>
      <c r="N45" s="187">
        <f t="shared" si="43"/>
        <v>0</v>
      </c>
      <c r="O45" s="213">
        <f t="shared" si="43"/>
        <v>0</v>
      </c>
      <c r="P45" s="269">
        <f t="shared" ref="P45:Q45" si="44">P77</f>
        <v>173700</v>
      </c>
      <c r="Q45" s="269">
        <f t="shared" si="44"/>
        <v>160200</v>
      </c>
      <c r="R45" s="269">
        <f t="shared" ref="R45" si="45">R77</f>
        <v>140700</v>
      </c>
      <c r="S45" s="409"/>
    </row>
    <row r="46" spans="1:20" s="4" customFormat="1" ht="9" customHeight="1" outlineLevel="1">
      <c r="A46" s="52"/>
      <c r="B46" s="41"/>
      <c r="C46" s="130"/>
      <c r="D46" s="14"/>
      <c r="E46" s="50"/>
      <c r="F46" s="277"/>
      <c r="G46" s="296"/>
      <c r="H46" s="223"/>
      <c r="I46" s="359"/>
      <c r="J46" s="359"/>
      <c r="K46" s="359"/>
      <c r="L46" s="536"/>
      <c r="M46" s="185"/>
      <c r="N46" s="185"/>
      <c r="O46" s="185"/>
      <c r="P46" s="399"/>
      <c r="Q46" s="399"/>
      <c r="R46" s="399"/>
    </row>
    <row r="47" spans="1:20" s="4" customFormat="1" outlineLevel="1">
      <c r="A47" s="33" t="s">
        <v>0</v>
      </c>
      <c r="B47" s="41"/>
      <c r="C47" s="130">
        <v>200100</v>
      </c>
      <c r="D47" s="11" t="s">
        <v>82</v>
      </c>
      <c r="E47" s="417"/>
      <c r="F47" s="278"/>
      <c r="G47" s="298"/>
      <c r="H47" s="215">
        <f>H50</f>
        <v>143500</v>
      </c>
      <c r="I47" s="215">
        <f t="shared" ref="I47:K47" si="46">I50</f>
        <v>128911</v>
      </c>
      <c r="J47" s="215">
        <f t="shared" si="46"/>
        <v>0</v>
      </c>
      <c r="K47" s="215">
        <f t="shared" si="46"/>
        <v>128911</v>
      </c>
      <c r="L47" s="537">
        <f>L50</f>
        <v>92000</v>
      </c>
      <c r="M47" s="510"/>
      <c r="N47" s="510"/>
      <c r="O47" s="215">
        <f t="shared" ref="O47" si="47">O50</f>
        <v>0</v>
      </c>
      <c r="P47" s="401">
        <f>P50</f>
        <v>85000</v>
      </c>
      <c r="Q47" s="401">
        <f>Q50</f>
        <v>70000</v>
      </c>
      <c r="R47" s="401">
        <f>R50</f>
        <v>50000</v>
      </c>
      <c r="S47" s="33"/>
    </row>
    <row r="48" spans="1:20" s="4" customFormat="1" outlineLevel="2">
      <c r="A48" s="33" t="s">
        <v>136</v>
      </c>
      <c r="B48" s="44">
        <v>2100</v>
      </c>
      <c r="C48" s="130">
        <v>200101</v>
      </c>
      <c r="D48" s="14" t="s">
        <v>184</v>
      </c>
      <c r="E48" s="50"/>
      <c r="F48" s="278">
        <v>77000</v>
      </c>
      <c r="G48" s="298">
        <v>86408</v>
      </c>
      <c r="H48" s="215">
        <v>85000</v>
      </c>
      <c r="I48" s="215">
        <v>70411</v>
      </c>
      <c r="J48" s="215"/>
      <c r="K48" s="215">
        <f>I48+J48</f>
        <v>70411</v>
      </c>
      <c r="L48" s="411">
        <v>92000</v>
      </c>
      <c r="M48" s="139"/>
      <c r="N48" s="139"/>
      <c r="O48" s="215">
        <f>M48+N48</f>
        <v>0</v>
      </c>
      <c r="P48" s="270">
        <f>P12</f>
        <v>85000</v>
      </c>
      <c r="Q48" s="363">
        <f>Q12</f>
        <v>70000</v>
      </c>
      <c r="R48" s="363">
        <f>R12</f>
        <v>50000</v>
      </c>
    </row>
    <row r="49" spans="1:18" s="4" customFormat="1" outlineLevel="2">
      <c r="A49" s="33" t="s">
        <v>136</v>
      </c>
      <c r="B49" s="44">
        <v>2101</v>
      </c>
      <c r="C49" s="130">
        <v>200102</v>
      </c>
      <c r="D49" s="14" t="s">
        <v>150</v>
      </c>
      <c r="E49" s="50"/>
      <c r="F49" s="280">
        <v>59000</v>
      </c>
      <c r="G49" s="300">
        <v>59000</v>
      </c>
      <c r="H49" s="217">
        <v>58500</v>
      </c>
      <c r="I49" s="217">
        <v>58500</v>
      </c>
      <c r="J49" s="217">
        <v>0</v>
      </c>
      <c r="K49" s="217">
        <f>I49+J49</f>
        <v>58500</v>
      </c>
      <c r="L49" s="532">
        <v>0</v>
      </c>
      <c r="M49" s="217"/>
      <c r="N49" s="217"/>
      <c r="O49" s="217">
        <f>M49+N49</f>
        <v>0</v>
      </c>
      <c r="P49" s="365">
        <v>0</v>
      </c>
      <c r="Q49" s="365">
        <v>0</v>
      </c>
      <c r="R49" s="365">
        <v>0</v>
      </c>
    </row>
    <row r="50" spans="1:18" s="4" customFormat="1" outlineLevel="2">
      <c r="A50" s="33" t="s">
        <v>2</v>
      </c>
      <c r="B50" s="44">
        <v>2109</v>
      </c>
      <c r="C50" s="130">
        <v>200199</v>
      </c>
      <c r="D50" s="11" t="s">
        <v>151</v>
      </c>
      <c r="E50" s="50"/>
      <c r="F50" s="277">
        <f t="shared" ref="F50" si="48">SUM(F48:F49)</f>
        <v>136000</v>
      </c>
      <c r="G50" s="296">
        <f t="shared" ref="G50" si="49">SUM(G48:G49)</f>
        <v>145408</v>
      </c>
      <c r="H50" s="223">
        <f t="shared" ref="H50:N50" si="50">SUM(H48:H49)</f>
        <v>143500</v>
      </c>
      <c r="I50" s="223">
        <f t="shared" si="50"/>
        <v>128911</v>
      </c>
      <c r="J50" s="223">
        <f t="shared" si="50"/>
        <v>0</v>
      </c>
      <c r="K50" s="223">
        <f t="shared" si="50"/>
        <v>128911</v>
      </c>
      <c r="L50" s="531">
        <f>SUM(L48:L49)</f>
        <v>92000</v>
      </c>
      <c r="M50" s="223">
        <f t="shared" si="50"/>
        <v>0</v>
      </c>
      <c r="N50" s="252">
        <f t="shared" si="50"/>
        <v>0</v>
      </c>
      <c r="O50" s="223">
        <f t="shared" ref="O50" si="51">SUM(O48:O49)</f>
        <v>0</v>
      </c>
      <c r="P50" s="271">
        <f t="shared" ref="P50:Q50" si="52">SUM(P48:P49)</f>
        <v>85000</v>
      </c>
      <c r="Q50" s="271">
        <f t="shared" si="52"/>
        <v>70000</v>
      </c>
      <c r="R50" s="271">
        <f t="shared" ref="R50" si="53">SUM(R48:R49)</f>
        <v>50000</v>
      </c>
    </row>
    <row r="51" spans="1:18" s="4" customFormat="1" ht="9" customHeight="1" outlineLevel="1">
      <c r="A51" s="33"/>
      <c r="B51" s="57"/>
      <c r="C51" s="130"/>
      <c r="D51" s="11"/>
      <c r="E51" s="50"/>
      <c r="F51" s="271"/>
      <c r="G51" s="302"/>
      <c r="H51" s="223"/>
      <c r="I51" s="359"/>
      <c r="J51" s="359"/>
      <c r="K51" s="359"/>
      <c r="L51" s="531"/>
      <c r="M51" s="252"/>
      <c r="N51" s="252"/>
      <c r="O51" s="252"/>
      <c r="P51" s="271"/>
      <c r="Q51" s="271"/>
      <c r="R51" s="271"/>
    </row>
    <row r="52" spans="1:18" s="4" customFormat="1" outlineLevel="1">
      <c r="A52" s="50" t="s">
        <v>0</v>
      </c>
      <c r="B52" s="41"/>
      <c r="C52" s="130">
        <v>200200</v>
      </c>
      <c r="D52" s="11" t="s">
        <v>160</v>
      </c>
      <c r="E52" s="417"/>
      <c r="F52" s="270"/>
      <c r="G52" s="303"/>
      <c r="H52" s="215">
        <f t="shared" ref="H52:R52" si="54">H67</f>
        <v>81500</v>
      </c>
      <c r="I52" s="215">
        <f t="shared" si="54"/>
        <v>106902</v>
      </c>
      <c r="J52" s="215">
        <f t="shared" si="54"/>
        <v>0</v>
      </c>
      <c r="K52" s="215">
        <f t="shared" si="54"/>
        <v>106902</v>
      </c>
      <c r="L52" s="537">
        <f t="shared" si="54"/>
        <v>83050</v>
      </c>
      <c r="M52" s="510"/>
      <c r="N52" s="510"/>
      <c r="O52" s="215">
        <f t="shared" ref="O52" si="55">O67</f>
        <v>0</v>
      </c>
      <c r="P52" s="401">
        <f t="shared" si="54"/>
        <v>83650</v>
      </c>
      <c r="Q52" s="401">
        <f t="shared" si="54"/>
        <v>85150</v>
      </c>
      <c r="R52" s="401">
        <f t="shared" si="54"/>
        <v>85650</v>
      </c>
    </row>
    <row r="53" spans="1:18" s="4" customFormat="1" outlineLevel="2">
      <c r="A53" s="33" t="s">
        <v>136</v>
      </c>
      <c r="B53" s="41">
        <v>2001</v>
      </c>
      <c r="C53" s="107">
        <v>200201</v>
      </c>
      <c r="D53" s="14" t="s">
        <v>145</v>
      </c>
      <c r="E53" s="50"/>
      <c r="F53" s="278">
        <v>30450</v>
      </c>
      <c r="G53" s="298">
        <v>34982</v>
      </c>
      <c r="H53" s="215">
        <v>37000</v>
      </c>
      <c r="I53" s="215">
        <v>34250</v>
      </c>
      <c r="J53" s="215"/>
      <c r="K53" s="215">
        <f t="shared" ref="K53:K64" si="56">I53+J53</f>
        <v>34250</v>
      </c>
      <c r="L53" s="411">
        <v>35000</v>
      </c>
      <c r="M53" s="139"/>
      <c r="N53" s="139"/>
      <c r="O53" s="215">
        <f t="shared" ref="O53:O64" si="57">M53+N53</f>
        <v>0</v>
      </c>
      <c r="P53" s="270">
        <v>35000</v>
      </c>
      <c r="Q53" s="270">
        <v>35000</v>
      </c>
      <c r="R53" s="270">
        <v>35000</v>
      </c>
    </row>
    <row r="54" spans="1:18" s="4" customFormat="1" outlineLevel="2">
      <c r="A54" s="33" t="s">
        <v>136</v>
      </c>
      <c r="B54" s="41">
        <v>2000</v>
      </c>
      <c r="C54" s="107">
        <v>200211</v>
      </c>
      <c r="D54" s="14" t="s">
        <v>124</v>
      </c>
      <c r="E54" s="50"/>
      <c r="F54" s="278">
        <v>2400</v>
      </c>
      <c r="G54" s="298">
        <v>2341</v>
      </c>
      <c r="H54" s="215">
        <v>2400</v>
      </c>
      <c r="I54" s="215">
        <v>2392</v>
      </c>
      <c r="J54" s="215">
        <v>0</v>
      </c>
      <c r="K54" s="215">
        <f t="shared" si="56"/>
        <v>2392</v>
      </c>
      <c r="L54" s="411">
        <v>0</v>
      </c>
      <c r="M54" s="139"/>
      <c r="N54" s="139"/>
      <c r="O54" s="215">
        <f t="shared" si="57"/>
        <v>0</v>
      </c>
      <c r="P54" s="270">
        <v>0</v>
      </c>
      <c r="Q54" s="270">
        <v>0</v>
      </c>
      <c r="R54" s="270">
        <v>0</v>
      </c>
    </row>
    <row r="55" spans="1:18" s="4" customFormat="1" outlineLevel="2">
      <c r="A55" s="33" t="s">
        <v>136</v>
      </c>
      <c r="B55" s="41">
        <v>2010</v>
      </c>
      <c r="C55" s="107">
        <v>200212</v>
      </c>
      <c r="D55" s="14" t="s">
        <v>25</v>
      </c>
      <c r="E55" s="85"/>
      <c r="F55" s="278">
        <v>3000</v>
      </c>
      <c r="G55" s="298">
        <v>7269</v>
      </c>
      <c r="H55" s="215">
        <v>8000</v>
      </c>
      <c r="I55" s="215">
        <v>5892</v>
      </c>
      <c r="J55" s="215">
        <v>0</v>
      </c>
      <c r="K55" s="215">
        <f t="shared" si="56"/>
        <v>5892</v>
      </c>
      <c r="L55" s="411">
        <v>4800</v>
      </c>
      <c r="M55" s="139"/>
      <c r="N55" s="139"/>
      <c r="O55" s="215">
        <f t="shared" si="57"/>
        <v>0</v>
      </c>
      <c r="P55" s="270">
        <v>4800</v>
      </c>
      <c r="Q55" s="270">
        <v>4800</v>
      </c>
      <c r="R55" s="270">
        <v>4800</v>
      </c>
    </row>
    <row r="56" spans="1:18" s="4" customFormat="1" outlineLevel="2">
      <c r="A56" s="33" t="s">
        <v>136</v>
      </c>
      <c r="B56" s="41">
        <v>2011</v>
      </c>
      <c r="C56" s="107">
        <v>200213</v>
      </c>
      <c r="D56" s="14" t="s">
        <v>10</v>
      </c>
      <c r="E56" s="50"/>
      <c r="F56" s="278">
        <v>3000</v>
      </c>
      <c r="G56" s="298">
        <v>3133</v>
      </c>
      <c r="H56" s="215">
        <v>3300</v>
      </c>
      <c r="I56" s="215">
        <v>4537</v>
      </c>
      <c r="J56" s="215">
        <v>0</v>
      </c>
      <c r="K56" s="215">
        <f t="shared" si="56"/>
        <v>4537</v>
      </c>
      <c r="L56" s="411">
        <v>5000</v>
      </c>
      <c r="M56" s="139"/>
      <c r="N56" s="139"/>
      <c r="O56" s="215">
        <f t="shared" si="57"/>
        <v>0</v>
      </c>
      <c r="P56" s="270">
        <v>5500</v>
      </c>
      <c r="Q56" s="270">
        <v>5500</v>
      </c>
      <c r="R56" s="270">
        <v>6000</v>
      </c>
    </row>
    <row r="57" spans="1:18" s="4" customFormat="1" outlineLevel="2">
      <c r="A57" s="33" t="s">
        <v>136</v>
      </c>
      <c r="B57" s="41">
        <v>2013</v>
      </c>
      <c r="C57" s="107">
        <v>200214</v>
      </c>
      <c r="D57" s="14" t="s">
        <v>84</v>
      </c>
      <c r="E57" s="50"/>
      <c r="F57" s="278">
        <v>1200</v>
      </c>
      <c r="G57" s="298">
        <v>412</v>
      </c>
      <c r="H57" s="215">
        <v>500</v>
      </c>
      <c r="I57" s="215">
        <v>410</v>
      </c>
      <c r="J57" s="215">
        <v>0</v>
      </c>
      <c r="K57" s="215">
        <f t="shared" si="56"/>
        <v>410</v>
      </c>
      <c r="L57" s="411">
        <v>500</v>
      </c>
      <c r="M57" s="139"/>
      <c r="N57" s="139"/>
      <c r="O57" s="215">
        <f t="shared" si="57"/>
        <v>0</v>
      </c>
      <c r="P57" s="270">
        <v>500</v>
      </c>
      <c r="Q57" s="270">
        <v>500</v>
      </c>
      <c r="R57" s="270">
        <v>500</v>
      </c>
    </row>
    <row r="58" spans="1:18" s="4" customFormat="1" outlineLevel="2">
      <c r="A58" s="33" t="s">
        <v>136</v>
      </c>
      <c r="B58" s="41">
        <v>2014</v>
      </c>
      <c r="C58" s="107">
        <v>200215</v>
      </c>
      <c r="D58" s="14" t="s">
        <v>26</v>
      </c>
      <c r="E58" s="50"/>
      <c r="F58" s="278">
        <v>500</v>
      </c>
      <c r="G58" s="299">
        <v>4081</v>
      </c>
      <c r="H58" s="215">
        <v>2000</v>
      </c>
      <c r="I58" s="215">
        <v>2600</v>
      </c>
      <c r="J58" s="215">
        <v>0</v>
      </c>
      <c r="K58" s="215">
        <f t="shared" si="56"/>
        <v>2600</v>
      </c>
      <c r="L58" s="411">
        <v>2500</v>
      </c>
      <c r="M58" s="139"/>
      <c r="N58" s="139"/>
      <c r="O58" s="215">
        <f t="shared" si="57"/>
        <v>0</v>
      </c>
      <c r="P58" s="270">
        <v>2500</v>
      </c>
      <c r="Q58" s="270">
        <v>2500</v>
      </c>
      <c r="R58" s="270">
        <v>2500</v>
      </c>
    </row>
    <row r="59" spans="1:18" s="4" customFormat="1" outlineLevel="2">
      <c r="A59" s="33" t="s">
        <v>136</v>
      </c>
      <c r="B59" s="41">
        <v>2020</v>
      </c>
      <c r="C59" s="107">
        <v>200220</v>
      </c>
      <c r="D59" s="14" t="s">
        <v>207</v>
      </c>
      <c r="E59" s="105"/>
      <c r="F59" s="278">
        <v>2000</v>
      </c>
      <c r="G59" s="298">
        <v>7039</v>
      </c>
      <c r="H59" s="215">
        <v>2000</v>
      </c>
      <c r="I59" s="215">
        <v>24239</v>
      </c>
      <c r="J59" s="170">
        <v>0</v>
      </c>
      <c r="K59" s="215">
        <f t="shared" si="56"/>
        <v>24239</v>
      </c>
      <c r="L59" s="411">
        <v>4000</v>
      </c>
      <c r="M59" s="139"/>
      <c r="N59" s="139"/>
      <c r="O59" s="215">
        <f t="shared" si="57"/>
        <v>0</v>
      </c>
      <c r="P59" s="270">
        <v>4000</v>
      </c>
      <c r="Q59" s="270">
        <v>4000</v>
      </c>
      <c r="R59" s="270">
        <v>4000</v>
      </c>
    </row>
    <row r="60" spans="1:18" s="4" customFormat="1" outlineLevel="2">
      <c r="A60" s="33" t="s">
        <v>136</v>
      </c>
      <c r="B60" s="41">
        <v>2021</v>
      </c>
      <c r="C60" s="107">
        <v>200221</v>
      </c>
      <c r="D60" s="14" t="s">
        <v>27</v>
      </c>
      <c r="E60" s="50"/>
      <c r="F60" s="278">
        <v>1500</v>
      </c>
      <c r="G60" s="298">
        <v>2328</v>
      </c>
      <c r="H60" s="215">
        <v>2500</v>
      </c>
      <c r="I60" s="215">
        <v>5412</v>
      </c>
      <c r="J60" s="215">
        <v>0</v>
      </c>
      <c r="K60" s="215">
        <f t="shared" si="56"/>
        <v>5412</v>
      </c>
      <c r="L60" s="411">
        <v>5500</v>
      </c>
      <c r="M60" s="139"/>
      <c r="N60" s="139"/>
      <c r="O60" s="215">
        <f t="shared" si="57"/>
        <v>0</v>
      </c>
      <c r="P60" s="270">
        <v>5500</v>
      </c>
      <c r="Q60" s="270">
        <v>6000</v>
      </c>
      <c r="R60" s="270">
        <v>6000</v>
      </c>
    </row>
    <row r="61" spans="1:18" s="4" customFormat="1" outlineLevel="2">
      <c r="A61" s="33" t="s">
        <v>136</v>
      </c>
      <c r="B61" s="41">
        <v>2030</v>
      </c>
      <c r="C61" s="107">
        <v>200230</v>
      </c>
      <c r="D61" s="14" t="s">
        <v>11</v>
      </c>
      <c r="E61" s="107"/>
      <c r="F61" s="279">
        <v>11000</v>
      </c>
      <c r="G61" s="299">
        <v>16382</v>
      </c>
      <c r="H61" s="170">
        <v>16500</v>
      </c>
      <c r="I61" s="215">
        <v>19134</v>
      </c>
      <c r="J61" s="215">
        <v>0</v>
      </c>
      <c r="K61" s="215">
        <f t="shared" si="56"/>
        <v>19134</v>
      </c>
      <c r="L61" s="411">
        <v>20000</v>
      </c>
      <c r="M61" s="139"/>
      <c r="N61" s="139"/>
      <c r="O61" s="215">
        <f t="shared" si="57"/>
        <v>0</v>
      </c>
      <c r="P61" s="270">
        <v>20000</v>
      </c>
      <c r="Q61" s="270">
        <v>21000</v>
      </c>
      <c r="R61" s="270">
        <v>21000</v>
      </c>
    </row>
    <row r="62" spans="1:18" s="4" customFormat="1" outlineLevel="2">
      <c r="A62" s="33" t="s">
        <v>136</v>
      </c>
      <c r="B62" s="41">
        <v>2050</v>
      </c>
      <c r="C62" s="107">
        <v>200250</v>
      </c>
      <c r="D62" s="14" t="s">
        <v>28</v>
      </c>
      <c r="E62" s="50"/>
      <c r="F62" s="278">
        <v>2800</v>
      </c>
      <c r="G62" s="299">
        <v>889</v>
      </c>
      <c r="H62" s="215">
        <v>1000</v>
      </c>
      <c r="I62" s="215">
        <v>2813</v>
      </c>
      <c r="J62" s="215">
        <v>0</v>
      </c>
      <c r="K62" s="215">
        <f t="shared" si="56"/>
        <v>2813</v>
      </c>
      <c r="L62" s="411">
        <v>3000</v>
      </c>
      <c r="M62" s="139"/>
      <c r="N62" s="139"/>
      <c r="O62" s="215">
        <f t="shared" si="57"/>
        <v>0</v>
      </c>
      <c r="P62" s="270">
        <v>3000</v>
      </c>
      <c r="Q62" s="270">
        <v>3000</v>
      </c>
      <c r="R62" s="270">
        <v>3000</v>
      </c>
    </row>
    <row r="63" spans="1:18" s="4" customFormat="1" outlineLevel="2">
      <c r="A63" s="33" t="s">
        <v>136</v>
      </c>
      <c r="B63" s="41">
        <v>2070</v>
      </c>
      <c r="C63" s="107">
        <v>200270</v>
      </c>
      <c r="D63" s="14" t="s">
        <v>83</v>
      </c>
      <c r="E63" s="50"/>
      <c r="F63" s="278">
        <v>0</v>
      </c>
      <c r="G63" s="298">
        <v>0</v>
      </c>
      <c r="H63" s="215">
        <v>0</v>
      </c>
      <c r="I63" s="215">
        <v>0</v>
      </c>
      <c r="J63" s="215">
        <v>0</v>
      </c>
      <c r="K63" s="215">
        <f t="shared" si="56"/>
        <v>0</v>
      </c>
      <c r="L63" s="411">
        <v>0</v>
      </c>
      <c r="M63" s="139"/>
      <c r="N63" s="139"/>
      <c r="O63" s="215">
        <f t="shared" si="57"/>
        <v>0</v>
      </c>
      <c r="P63" s="270">
        <v>0</v>
      </c>
      <c r="Q63" s="270">
        <v>0</v>
      </c>
      <c r="R63" s="270">
        <v>0</v>
      </c>
    </row>
    <row r="64" spans="1:18" s="4" customFormat="1" outlineLevel="2">
      <c r="A64" s="33" t="s">
        <v>136</v>
      </c>
      <c r="B64" s="41">
        <v>2071</v>
      </c>
      <c r="C64" s="107">
        <v>200271</v>
      </c>
      <c r="D64" s="14" t="s">
        <v>208</v>
      </c>
      <c r="E64" s="403" t="s">
        <v>460</v>
      </c>
      <c r="F64" s="278">
        <v>5500</v>
      </c>
      <c r="G64" s="298">
        <v>5519</v>
      </c>
      <c r="H64" s="215">
        <v>5500</v>
      </c>
      <c r="I64" s="215">
        <v>4573</v>
      </c>
      <c r="J64" s="215">
        <v>0</v>
      </c>
      <c r="K64" s="215">
        <f t="shared" si="56"/>
        <v>4573</v>
      </c>
      <c r="L64" s="411">
        <v>2100</v>
      </c>
      <c r="M64" s="139"/>
      <c r="N64" s="139"/>
      <c r="O64" s="215">
        <f t="shared" si="57"/>
        <v>0</v>
      </c>
      <c r="P64" s="270">
        <v>2200</v>
      </c>
      <c r="Q64" s="270">
        <v>2200</v>
      </c>
      <c r="R64" s="270">
        <v>2200</v>
      </c>
    </row>
    <row r="65" spans="1:19" s="4" customFormat="1" outlineLevel="2">
      <c r="A65" s="33" t="s">
        <v>136</v>
      </c>
      <c r="B65" s="41">
        <v>2080</v>
      </c>
      <c r="C65" s="131" t="s">
        <v>209</v>
      </c>
      <c r="D65" s="194" t="s">
        <v>29</v>
      </c>
      <c r="E65" s="85"/>
      <c r="F65" s="278">
        <v>0</v>
      </c>
      <c r="G65" s="298">
        <v>0</v>
      </c>
      <c r="H65" s="215">
        <v>0</v>
      </c>
      <c r="I65" s="215"/>
      <c r="J65" s="215"/>
      <c r="K65" s="215"/>
      <c r="L65" s="411"/>
      <c r="M65" s="139"/>
      <c r="N65" s="139"/>
      <c r="O65" s="215"/>
      <c r="P65" s="270"/>
      <c r="Q65" s="270"/>
      <c r="R65" s="270"/>
    </row>
    <row r="66" spans="1:19" s="4" customFormat="1" outlineLevel="2">
      <c r="A66" s="50" t="s">
        <v>136</v>
      </c>
      <c r="B66" s="41">
        <v>2090</v>
      </c>
      <c r="C66" s="107">
        <v>200290</v>
      </c>
      <c r="D66" s="14" t="s">
        <v>13</v>
      </c>
      <c r="E66" s="404" t="s">
        <v>452</v>
      </c>
      <c r="F66" s="280">
        <v>650</v>
      </c>
      <c r="G66" s="300">
        <v>761</v>
      </c>
      <c r="H66" s="217">
        <v>800</v>
      </c>
      <c r="I66" s="217">
        <v>650</v>
      </c>
      <c r="J66" s="217">
        <v>0</v>
      </c>
      <c r="K66" s="217">
        <f>I66+J66</f>
        <v>650</v>
      </c>
      <c r="L66" s="532">
        <v>650</v>
      </c>
      <c r="M66" s="217"/>
      <c r="N66" s="217"/>
      <c r="O66" s="217">
        <f>M66+N66</f>
        <v>0</v>
      </c>
      <c r="P66" s="365">
        <v>650</v>
      </c>
      <c r="Q66" s="365">
        <v>650</v>
      </c>
      <c r="R66" s="365">
        <v>650</v>
      </c>
    </row>
    <row r="67" spans="1:19" s="4" customFormat="1" outlineLevel="2">
      <c r="A67" s="50" t="s">
        <v>2</v>
      </c>
      <c r="B67" s="44">
        <v>2099</v>
      </c>
      <c r="C67" s="130">
        <v>200299</v>
      </c>
      <c r="D67" s="11" t="s">
        <v>6</v>
      </c>
      <c r="E67" s="50"/>
      <c r="F67" s="277">
        <f t="shared" ref="F67:G67" si="58">SUM(F53:F66)</f>
        <v>64000</v>
      </c>
      <c r="G67" s="296">
        <f t="shared" si="58"/>
        <v>85136</v>
      </c>
      <c r="H67" s="223">
        <f t="shared" ref="H67:J67" si="59">SUM(H53:H66)</f>
        <v>81500</v>
      </c>
      <c r="I67" s="223">
        <f t="shared" si="59"/>
        <v>106902</v>
      </c>
      <c r="J67" s="223">
        <f t="shared" si="59"/>
        <v>0</v>
      </c>
      <c r="K67" s="223">
        <f>I67+J67</f>
        <v>106902</v>
      </c>
      <c r="L67" s="531">
        <f>SUM(L53:L66)</f>
        <v>83050</v>
      </c>
      <c r="M67" s="223">
        <f t="shared" ref="M67:N67" si="60">SUM(M53:M66)</f>
        <v>0</v>
      </c>
      <c r="N67" s="252">
        <f t="shared" si="60"/>
        <v>0</v>
      </c>
      <c r="O67" s="223">
        <f>M67+N67</f>
        <v>0</v>
      </c>
      <c r="P67" s="271">
        <f>SUM(P53:P66)</f>
        <v>83650</v>
      </c>
      <c r="Q67" s="271">
        <f>SUM(Q53:Q66)</f>
        <v>85150</v>
      </c>
      <c r="R67" s="271">
        <f>SUM(R53:R66)</f>
        <v>85650</v>
      </c>
    </row>
    <row r="68" spans="1:19" s="4" customFormat="1" ht="9" customHeight="1" outlineLevel="1">
      <c r="A68" s="52"/>
      <c r="B68" s="41"/>
      <c r="C68" s="130"/>
      <c r="D68" s="14"/>
      <c r="E68" s="50"/>
      <c r="F68" s="278"/>
      <c r="G68" s="298"/>
      <c r="H68" s="215"/>
      <c r="I68" s="359"/>
      <c r="J68" s="359"/>
      <c r="K68" s="223"/>
      <c r="L68" s="531"/>
      <c r="M68" s="252"/>
      <c r="N68" s="252"/>
      <c r="O68" s="252"/>
      <c r="P68" s="271"/>
      <c r="Q68" s="271"/>
      <c r="R68" s="271"/>
    </row>
    <row r="69" spans="1:19" s="4" customFormat="1" outlineLevel="1" collapsed="1">
      <c r="A69" s="33" t="s">
        <v>0</v>
      </c>
      <c r="B69" s="41"/>
      <c r="C69" s="130">
        <v>200300</v>
      </c>
      <c r="D69" s="11" t="s">
        <v>154</v>
      </c>
      <c r="E69" s="417"/>
      <c r="F69" s="278"/>
      <c r="G69" s="298"/>
      <c r="H69" s="215">
        <f t="shared" ref="H69:R69" si="61">H73</f>
        <v>5050</v>
      </c>
      <c r="I69" s="215">
        <f t="shared" si="61"/>
        <v>5039</v>
      </c>
      <c r="J69" s="215">
        <f t="shared" si="61"/>
        <v>0</v>
      </c>
      <c r="K69" s="215">
        <f t="shared" si="61"/>
        <v>5039</v>
      </c>
      <c r="L69" s="537">
        <f t="shared" si="61"/>
        <v>5050</v>
      </c>
      <c r="M69" s="510"/>
      <c r="N69" s="510"/>
      <c r="O69" s="215">
        <f t="shared" ref="O69" si="62">O73</f>
        <v>0</v>
      </c>
      <c r="P69" s="401">
        <f t="shared" si="61"/>
        <v>5050</v>
      </c>
      <c r="Q69" s="401">
        <f t="shared" si="61"/>
        <v>5050</v>
      </c>
      <c r="R69" s="401">
        <f t="shared" si="61"/>
        <v>5050</v>
      </c>
    </row>
    <row r="70" spans="1:19" s="4" customFormat="1" hidden="1" outlineLevel="2">
      <c r="A70" s="33" t="s">
        <v>136</v>
      </c>
      <c r="B70" s="41">
        <v>2012</v>
      </c>
      <c r="C70" s="107">
        <v>200301</v>
      </c>
      <c r="D70" s="14" t="s">
        <v>210</v>
      </c>
      <c r="E70" s="50"/>
      <c r="F70" s="278">
        <v>10</v>
      </c>
      <c r="G70" s="298">
        <v>10</v>
      </c>
      <c r="H70" s="215">
        <v>10</v>
      </c>
      <c r="I70" s="215">
        <v>10</v>
      </c>
      <c r="J70" s="215">
        <v>0</v>
      </c>
      <c r="K70" s="215">
        <f>I70+J70</f>
        <v>10</v>
      </c>
      <c r="L70" s="411">
        <v>10</v>
      </c>
      <c r="M70" s="139"/>
      <c r="N70" s="139"/>
      <c r="O70" s="215">
        <f>M70+N70</f>
        <v>0</v>
      </c>
      <c r="P70" s="270">
        <v>10</v>
      </c>
      <c r="Q70" s="270">
        <v>10</v>
      </c>
      <c r="R70" s="270">
        <v>10</v>
      </c>
    </row>
    <row r="71" spans="1:19" s="4" customFormat="1" hidden="1" outlineLevel="2">
      <c r="A71" s="33" t="s">
        <v>136</v>
      </c>
      <c r="B71" s="44">
        <v>2022</v>
      </c>
      <c r="C71" s="107">
        <v>200301</v>
      </c>
      <c r="D71" s="14" t="s">
        <v>211</v>
      </c>
      <c r="E71" s="50"/>
      <c r="F71" s="278">
        <v>2850</v>
      </c>
      <c r="G71" s="298">
        <v>2803</v>
      </c>
      <c r="H71" s="215">
        <v>2800</v>
      </c>
      <c r="I71" s="215">
        <v>2794</v>
      </c>
      <c r="J71" s="215">
        <v>0</v>
      </c>
      <c r="K71" s="215">
        <f>I71+J71</f>
        <v>2794</v>
      </c>
      <c r="L71" s="411">
        <v>2800</v>
      </c>
      <c r="M71" s="139"/>
      <c r="N71" s="139"/>
      <c r="O71" s="215">
        <f>M71+N71</f>
        <v>0</v>
      </c>
      <c r="P71" s="270">
        <v>2800</v>
      </c>
      <c r="Q71" s="270">
        <v>2800</v>
      </c>
      <c r="R71" s="270">
        <v>2800</v>
      </c>
    </row>
    <row r="72" spans="1:19" s="4" customFormat="1" hidden="1" outlineLevel="2">
      <c r="A72" s="33" t="s">
        <v>136</v>
      </c>
      <c r="B72" s="44">
        <v>2023</v>
      </c>
      <c r="C72" s="107">
        <v>200303</v>
      </c>
      <c r="D72" s="14" t="s">
        <v>212</v>
      </c>
      <c r="E72" s="38"/>
      <c r="F72" s="280">
        <f>375*7.55</f>
        <v>2831.25</v>
      </c>
      <c r="G72" s="300">
        <v>2242</v>
      </c>
      <c r="H72" s="217">
        <v>2240</v>
      </c>
      <c r="I72" s="217">
        <v>2235</v>
      </c>
      <c r="J72" s="217">
        <v>0</v>
      </c>
      <c r="K72" s="217">
        <f>I72+J72</f>
        <v>2235</v>
      </c>
      <c r="L72" s="532">
        <v>2240</v>
      </c>
      <c r="M72" s="217"/>
      <c r="N72" s="217"/>
      <c r="O72" s="217">
        <f>M72+N72</f>
        <v>0</v>
      </c>
      <c r="P72" s="365">
        <v>2240</v>
      </c>
      <c r="Q72" s="365">
        <v>2240</v>
      </c>
      <c r="R72" s="365">
        <v>2240</v>
      </c>
    </row>
    <row r="73" spans="1:19" s="4" customFormat="1" hidden="1" outlineLevel="2">
      <c r="A73" s="50" t="s">
        <v>2</v>
      </c>
      <c r="B73" s="44">
        <v>2029</v>
      </c>
      <c r="C73" s="130">
        <v>200399</v>
      </c>
      <c r="D73" s="11" t="s">
        <v>12</v>
      </c>
      <c r="E73" s="50"/>
      <c r="F73" s="277">
        <f t="shared" ref="F73:G73" si="63">SUM(F70:F72)</f>
        <v>5691.25</v>
      </c>
      <c r="G73" s="296">
        <f t="shared" si="63"/>
        <v>5055</v>
      </c>
      <c r="H73" s="223">
        <f t="shared" ref="H73:N73" si="64">SUM(H70:H72)</f>
        <v>5050</v>
      </c>
      <c r="I73" s="223">
        <f t="shared" si="64"/>
        <v>5039</v>
      </c>
      <c r="J73" s="223">
        <f t="shared" si="64"/>
        <v>0</v>
      </c>
      <c r="K73" s="223">
        <f>I73+J73</f>
        <v>5039</v>
      </c>
      <c r="L73" s="531">
        <f t="shared" si="64"/>
        <v>5050</v>
      </c>
      <c r="M73" s="223">
        <f t="shared" si="64"/>
        <v>0</v>
      </c>
      <c r="N73" s="252">
        <f t="shared" si="64"/>
        <v>0</v>
      </c>
      <c r="O73" s="223">
        <f>M73+N73</f>
        <v>0</v>
      </c>
      <c r="P73" s="271">
        <f t="shared" ref="P73:Q73" si="65">SUM(P70:P72)</f>
        <v>5050</v>
      </c>
      <c r="Q73" s="271">
        <f t="shared" si="65"/>
        <v>5050</v>
      </c>
      <c r="R73" s="271">
        <f t="shared" ref="R73" si="66">SUM(R70:R72)</f>
        <v>5050</v>
      </c>
    </row>
    <row r="74" spans="1:19" s="4" customFormat="1" ht="9" customHeight="1" outlineLevel="1">
      <c r="A74" s="50"/>
      <c r="B74" s="43"/>
      <c r="C74" s="130"/>
      <c r="D74" s="11"/>
      <c r="E74" s="50"/>
      <c r="F74" s="277"/>
      <c r="G74" s="296"/>
      <c r="H74" s="223"/>
      <c r="I74" s="359"/>
      <c r="J74" s="359"/>
      <c r="K74" s="223"/>
      <c r="L74" s="531"/>
      <c r="M74" s="252"/>
      <c r="N74" s="252"/>
      <c r="O74" s="252"/>
      <c r="P74" s="271"/>
      <c r="Q74" s="271"/>
      <c r="R74" s="271"/>
    </row>
    <row r="75" spans="1:19" s="4" customFormat="1" outlineLevel="1">
      <c r="A75" s="50" t="s">
        <v>136</v>
      </c>
      <c r="B75" s="43"/>
      <c r="C75" s="130">
        <v>200500</v>
      </c>
      <c r="D75" s="14" t="s">
        <v>499</v>
      </c>
      <c r="E75" s="417"/>
      <c r="F75" s="278">
        <v>0</v>
      </c>
      <c r="G75" s="299">
        <v>50737</v>
      </c>
      <c r="H75" s="237">
        <v>-22000</v>
      </c>
      <c r="I75" s="215">
        <v>75830</v>
      </c>
      <c r="J75" s="170">
        <v>0</v>
      </c>
      <c r="K75" s="170">
        <f>I75+J75</f>
        <v>75830</v>
      </c>
      <c r="L75" s="533">
        <v>0</v>
      </c>
      <c r="M75" s="145">
        <v>0</v>
      </c>
      <c r="N75" s="145">
        <v>0</v>
      </c>
      <c r="O75" s="170">
        <f>M75+N75</f>
        <v>0</v>
      </c>
      <c r="P75" s="363">
        <v>0</v>
      </c>
      <c r="Q75" s="363">
        <v>0</v>
      </c>
      <c r="R75" s="363">
        <v>0</v>
      </c>
      <c r="S75" s="439"/>
    </row>
    <row r="76" spans="1:19" s="4" customFormat="1" ht="9" customHeight="1" outlineLevel="1">
      <c r="A76" s="50"/>
      <c r="B76" s="43"/>
      <c r="C76" s="130"/>
      <c r="D76" s="14"/>
      <c r="E76" s="50"/>
      <c r="F76" s="278"/>
      <c r="G76" s="299"/>
      <c r="H76" s="237"/>
      <c r="I76" s="215"/>
      <c r="J76" s="253"/>
      <c r="K76" s="215"/>
      <c r="L76" s="538"/>
      <c r="M76" s="507"/>
      <c r="N76" s="507"/>
      <c r="O76" s="507"/>
      <c r="P76" s="286"/>
      <c r="Q76" s="286"/>
      <c r="R76" s="286"/>
    </row>
    <row r="77" spans="1:19" s="4" customFormat="1" outlineLevel="1">
      <c r="A77" s="50" t="s">
        <v>2</v>
      </c>
      <c r="B77" s="41">
        <v>2999</v>
      </c>
      <c r="C77" s="130">
        <v>299999</v>
      </c>
      <c r="D77" s="11" t="s">
        <v>454</v>
      </c>
      <c r="E77" s="50"/>
      <c r="F77" s="277">
        <f t="shared" ref="F77:G77" si="67">F50+F67+F73+F75</f>
        <v>205691.25</v>
      </c>
      <c r="G77" s="296">
        <f t="shared" si="67"/>
        <v>286336</v>
      </c>
      <c r="H77" s="223">
        <f t="shared" ref="H77:J77" si="68">H50+H67+H73+H75</f>
        <v>208050</v>
      </c>
      <c r="I77" s="223">
        <f t="shared" si="68"/>
        <v>316682</v>
      </c>
      <c r="J77" s="223">
        <f t="shared" si="68"/>
        <v>0</v>
      </c>
      <c r="K77" s="223">
        <f>I77+J77</f>
        <v>316682</v>
      </c>
      <c r="L77" s="531">
        <f>L50+L67+L73+L75</f>
        <v>180100</v>
      </c>
      <c r="M77" s="223">
        <f t="shared" ref="M77:N77" si="69">M50+M67+M73+M75</f>
        <v>0</v>
      </c>
      <c r="N77" s="252">
        <f t="shared" si="69"/>
        <v>0</v>
      </c>
      <c r="O77" s="223">
        <f>M77+N77</f>
        <v>0</v>
      </c>
      <c r="P77" s="271">
        <f>P50+P67+P73+P75</f>
        <v>173700</v>
      </c>
      <c r="Q77" s="271">
        <f>Q50+Q67+Q73+Q75</f>
        <v>160200</v>
      </c>
      <c r="R77" s="271">
        <f>R50+R67+R73+R75</f>
        <v>140700</v>
      </c>
    </row>
    <row r="78" spans="1:19" collapsed="1">
      <c r="A78" s="33" t="s">
        <v>0</v>
      </c>
      <c r="B78" s="41"/>
      <c r="C78" s="130">
        <v>310000</v>
      </c>
      <c r="D78" s="62" t="s">
        <v>213</v>
      </c>
      <c r="E78" s="421"/>
      <c r="F78" s="278">
        <f t="shared" ref="F78" si="70">F108</f>
        <v>100000</v>
      </c>
      <c r="G78" s="298">
        <f t="shared" ref="G78" si="71">G108</f>
        <v>140689</v>
      </c>
      <c r="H78" s="215">
        <f t="shared" ref="H78:K78" si="72">H108</f>
        <v>167700</v>
      </c>
      <c r="I78" s="215">
        <f>I108</f>
        <v>106840</v>
      </c>
      <c r="J78" s="215">
        <f t="shared" si="72"/>
        <v>0</v>
      </c>
      <c r="K78" s="215">
        <f t="shared" si="72"/>
        <v>106840</v>
      </c>
      <c r="L78" s="411">
        <f>L108</f>
        <v>72470</v>
      </c>
      <c r="M78" s="215">
        <f>M108</f>
        <v>0</v>
      </c>
      <c r="N78" s="139">
        <f t="shared" ref="N78:O78" si="73">N108</f>
        <v>0</v>
      </c>
      <c r="O78" s="215">
        <f t="shared" si="73"/>
        <v>0</v>
      </c>
      <c r="P78" s="270">
        <f t="shared" ref="P78:Q78" si="74">P108</f>
        <v>79500</v>
      </c>
      <c r="Q78" s="270">
        <f t="shared" si="74"/>
        <v>80100</v>
      </c>
      <c r="R78" s="270">
        <f t="shared" ref="R78" si="75">R108</f>
        <v>80100</v>
      </c>
    </row>
    <row r="79" spans="1:19" hidden="1" outlineLevel="1" collapsed="1">
      <c r="A79" s="33" t="s">
        <v>0</v>
      </c>
      <c r="B79" s="41"/>
      <c r="C79" s="127">
        <v>310100</v>
      </c>
      <c r="D79" s="16" t="s">
        <v>51</v>
      </c>
      <c r="E79" s="417"/>
      <c r="F79" s="277">
        <f t="shared" ref="F79" si="76">F83</f>
        <v>22000</v>
      </c>
      <c r="G79" s="296">
        <f t="shared" ref="G79" si="77">G83</f>
        <v>16128</v>
      </c>
      <c r="H79" s="223">
        <f>H83</f>
        <v>19700</v>
      </c>
      <c r="I79" s="223">
        <f t="shared" ref="I79:O79" si="78">I83</f>
        <v>14898</v>
      </c>
      <c r="J79" s="223">
        <f t="shared" si="78"/>
        <v>0</v>
      </c>
      <c r="K79" s="223">
        <f t="shared" si="78"/>
        <v>14898</v>
      </c>
      <c r="L79" s="531">
        <f>L83</f>
        <v>15100</v>
      </c>
      <c r="M79" s="223">
        <f t="shared" si="78"/>
        <v>0</v>
      </c>
      <c r="N79" s="252">
        <f t="shared" si="78"/>
        <v>0</v>
      </c>
      <c r="O79" s="223">
        <f t="shared" si="78"/>
        <v>0</v>
      </c>
      <c r="P79" s="271">
        <f>P83</f>
        <v>16100</v>
      </c>
      <c r="Q79" s="271">
        <f>Q83</f>
        <v>16700</v>
      </c>
      <c r="R79" s="271">
        <f>R83</f>
        <v>16700</v>
      </c>
    </row>
    <row r="80" spans="1:19" ht="15" hidden="1" customHeight="1" outlineLevel="2">
      <c r="A80" s="33" t="s">
        <v>136</v>
      </c>
      <c r="B80" s="41">
        <v>6001</v>
      </c>
      <c r="C80" s="127">
        <v>310101</v>
      </c>
      <c r="D80" s="14" t="s">
        <v>214</v>
      </c>
      <c r="F80" s="278">
        <v>2500</v>
      </c>
      <c r="G80" s="298">
        <v>2000</v>
      </c>
      <c r="H80" s="215">
        <v>2200</v>
      </c>
      <c r="I80" s="213">
        <v>2100</v>
      </c>
      <c r="J80" s="213">
        <v>0</v>
      </c>
      <c r="K80" s="213">
        <f>I80+J80</f>
        <v>2100</v>
      </c>
      <c r="L80" s="528">
        <v>2100</v>
      </c>
      <c r="M80" s="187"/>
      <c r="N80" s="187"/>
      <c r="O80" s="213">
        <f>M80+N80</f>
        <v>0</v>
      </c>
      <c r="P80" s="269">
        <v>2100</v>
      </c>
      <c r="Q80" s="269">
        <v>2200</v>
      </c>
      <c r="R80" s="269">
        <v>2200</v>
      </c>
    </row>
    <row r="81" spans="1:18" ht="15" hidden="1" customHeight="1" outlineLevel="2">
      <c r="A81" s="33" t="s">
        <v>136</v>
      </c>
      <c r="B81" s="41">
        <v>60011</v>
      </c>
      <c r="C81" s="127">
        <v>310102</v>
      </c>
      <c r="D81" s="14" t="s">
        <v>215</v>
      </c>
      <c r="F81" s="278">
        <v>11000</v>
      </c>
      <c r="G81" s="298">
        <v>9468</v>
      </c>
      <c r="H81" s="215">
        <v>12000</v>
      </c>
      <c r="I81" s="213">
        <v>7738</v>
      </c>
      <c r="J81" s="213">
        <v>0</v>
      </c>
      <c r="K81" s="213">
        <f>I81+J81</f>
        <v>7738</v>
      </c>
      <c r="L81" s="528">
        <v>8000</v>
      </c>
      <c r="M81" s="187"/>
      <c r="N81" s="187"/>
      <c r="O81" s="213">
        <f>M81+N81</f>
        <v>0</v>
      </c>
      <c r="P81" s="269">
        <v>9000</v>
      </c>
      <c r="Q81" s="269">
        <v>9000</v>
      </c>
      <c r="R81" s="269">
        <v>9000</v>
      </c>
    </row>
    <row r="82" spans="1:18" hidden="1" outlineLevel="2">
      <c r="A82" s="33" t="s">
        <v>136</v>
      </c>
      <c r="B82" s="41">
        <v>60012</v>
      </c>
      <c r="C82" s="127">
        <v>310103</v>
      </c>
      <c r="D82" s="14" t="s">
        <v>216</v>
      </c>
      <c r="F82" s="280">
        <v>8500</v>
      </c>
      <c r="G82" s="300">
        <v>4660</v>
      </c>
      <c r="H82" s="217">
        <v>5500</v>
      </c>
      <c r="I82" s="216">
        <v>5060</v>
      </c>
      <c r="J82" s="216">
        <v>0</v>
      </c>
      <c r="K82" s="216">
        <f>I82+J82</f>
        <v>5060</v>
      </c>
      <c r="L82" s="532">
        <v>5000</v>
      </c>
      <c r="M82" s="217"/>
      <c r="N82" s="217"/>
      <c r="O82" s="216">
        <f>M82+N82</f>
        <v>0</v>
      </c>
      <c r="P82" s="365">
        <v>5000</v>
      </c>
      <c r="Q82" s="365">
        <v>5500</v>
      </c>
      <c r="R82" s="365">
        <v>5500</v>
      </c>
    </row>
    <row r="83" spans="1:18" hidden="1" outlineLevel="2">
      <c r="A83" s="33" t="s">
        <v>2</v>
      </c>
      <c r="B83" s="42" t="s">
        <v>158</v>
      </c>
      <c r="C83" s="127">
        <v>310199</v>
      </c>
      <c r="D83" s="11" t="s">
        <v>53</v>
      </c>
      <c r="F83" s="277">
        <f t="shared" ref="F83" si="79">SUM(F80:F82)</f>
        <v>22000</v>
      </c>
      <c r="G83" s="296">
        <f t="shared" ref="G83" si="80">SUM(G80:G82)</f>
        <v>16128</v>
      </c>
      <c r="H83" s="223">
        <f t="shared" ref="H83:O83" si="81">SUM(H80:H82)</f>
        <v>19700</v>
      </c>
      <c r="I83" s="223">
        <f t="shared" si="81"/>
        <v>14898</v>
      </c>
      <c r="J83" s="223">
        <f t="shared" si="81"/>
        <v>0</v>
      </c>
      <c r="K83" s="223">
        <f t="shared" si="81"/>
        <v>14898</v>
      </c>
      <c r="L83" s="531">
        <f t="shared" ref="L83:P83" si="82">SUM(L80:L82)</f>
        <v>15100</v>
      </c>
      <c r="M83" s="223">
        <f t="shared" si="81"/>
        <v>0</v>
      </c>
      <c r="N83" s="252">
        <f t="shared" si="81"/>
        <v>0</v>
      </c>
      <c r="O83" s="223">
        <f t="shared" si="81"/>
        <v>0</v>
      </c>
      <c r="P83" s="271">
        <f t="shared" si="82"/>
        <v>16100</v>
      </c>
      <c r="Q83" s="271">
        <f t="shared" ref="Q83:R83" si="83">SUM(Q80:Q82)</f>
        <v>16700</v>
      </c>
      <c r="R83" s="271">
        <f t="shared" si="83"/>
        <v>16700</v>
      </c>
    </row>
    <row r="84" spans="1:18" ht="9" hidden="1" customHeight="1" outlineLevel="1">
      <c r="B84" s="41"/>
      <c r="D84" s="14"/>
      <c r="F84" s="270"/>
      <c r="G84" s="298"/>
      <c r="H84" s="215"/>
      <c r="I84" s="6"/>
      <c r="J84" s="6"/>
      <c r="K84" s="213"/>
      <c r="L84" s="528"/>
      <c r="M84" s="187"/>
      <c r="N84" s="187"/>
      <c r="O84" s="187"/>
      <c r="P84" s="269"/>
      <c r="Q84" s="269"/>
      <c r="R84" s="269"/>
    </row>
    <row r="85" spans="1:18" hidden="1" outlineLevel="1" collapsed="1">
      <c r="A85" s="33" t="s">
        <v>0</v>
      </c>
      <c r="B85" s="41"/>
      <c r="C85" s="127">
        <v>310200</v>
      </c>
      <c r="D85" s="11" t="s">
        <v>52</v>
      </c>
      <c r="E85" s="417"/>
      <c r="F85" s="277">
        <f t="shared" ref="F85" si="84">F89</f>
        <v>32000</v>
      </c>
      <c r="G85" s="296">
        <f t="shared" ref="G85" si="85">G89</f>
        <v>33807</v>
      </c>
      <c r="H85" s="223">
        <f t="shared" ref="H85:O85" si="86">H89</f>
        <v>36000</v>
      </c>
      <c r="I85" s="223">
        <f t="shared" si="86"/>
        <v>33540</v>
      </c>
      <c r="J85" s="170">
        <f>J89</f>
        <v>0</v>
      </c>
      <c r="K85" s="223">
        <f t="shared" si="86"/>
        <v>33540</v>
      </c>
      <c r="L85" s="531">
        <f t="shared" si="86"/>
        <v>21800</v>
      </c>
      <c r="M85" s="223">
        <f t="shared" si="86"/>
        <v>0</v>
      </c>
      <c r="N85" s="145">
        <f>N89</f>
        <v>0</v>
      </c>
      <c r="O85" s="223">
        <f t="shared" si="86"/>
        <v>0</v>
      </c>
      <c r="P85" s="271">
        <f t="shared" ref="P85:Q85" si="87">P89</f>
        <v>21800</v>
      </c>
      <c r="Q85" s="271">
        <f t="shared" si="87"/>
        <v>21800</v>
      </c>
      <c r="R85" s="271">
        <f t="shared" ref="R85" si="88">R89</f>
        <v>21800</v>
      </c>
    </row>
    <row r="86" spans="1:18" hidden="1" outlineLevel="2">
      <c r="A86" s="33" t="s">
        <v>136</v>
      </c>
      <c r="B86" s="41">
        <v>6000</v>
      </c>
      <c r="C86" s="127">
        <v>310201</v>
      </c>
      <c r="D86" s="14" t="s">
        <v>217</v>
      </c>
      <c r="F86" s="278">
        <v>4000</v>
      </c>
      <c r="G86" s="298">
        <v>1200</v>
      </c>
      <c r="H86" s="215">
        <v>5500</v>
      </c>
      <c r="I86" s="213">
        <v>0</v>
      </c>
      <c r="J86" s="408">
        <v>0</v>
      </c>
      <c r="K86" s="213">
        <f>I86+J86</f>
        <v>0</v>
      </c>
      <c r="L86" s="411">
        <v>0</v>
      </c>
      <c r="M86" s="139"/>
      <c r="N86" s="139"/>
      <c r="O86" s="213">
        <f>M86+N86</f>
        <v>0</v>
      </c>
      <c r="P86" s="411">
        <v>0</v>
      </c>
      <c r="Q86" s="411">
        <v>0</v>
      </c>
      <c r="R86" s="270">
        <v>0</v>
      </c>
    </row>
    <row r="87" spans="1:18" hidden="1" outlineLevel="2">
      <c r="A87" s="33" t="s">
        <v>136</v>
      </c>
      <c r="B87" s="41">
        <v>60001</v>
      </c>
      <c r="C87" s="127">
        <v>310202</v>
      </c>
      <c r="D87" s="14" t="s">
        <v>218</v>
      </c>
      <c r="F87" s="278">
        <v>24000</v>
      </c>
      <c r="G87" s="299">
        <v>27212</v>
      </c>
      <c r="H87" s="215">
        <v>25500</v>
      </c>
      <c r="I87" s="213">
        <v>26427</v>
      </c>
      <c r="J87" s="213"/>
      <c r="K87" s="213">
        <f>I87+J87</f>
        <v>26427</v>
      </c>
      <c r="L87" s="411">
        <v>15000</v>
      </c>
      <c r="M87" s="139"/>
      <c r="N87" s="139"/>
      <c r="O87" s="213">
        <f>M87+N87</f>
        <v>0</v>
      </c>
      <c r="P87" s="270">
        <v>15000</v>
      </c>
      <c r="Q87" s="270">
        <v>15000</v>
      </c>
      <c r="R87" s="270">
        <v>15000</v>
      </c>
    </row>
    <row r="88" spans="1:18" hidden="1" outlineLevel="2">
      <c r="A88" s="33" t="s">
        <v>136</v>
      </c>
      <c r="B88" s="41">
        <v>60002</v>
      </c>
      <c r="C88" s="127">
        <v>310203</v>
      </c>
      <c r="D88" s="14" t="s">
        <v>219</v>
      </c>
      <c r="F88" s="280">
        <v>4000</v>
      </c>
      <c r="G88" s="304">
        <v>5395</v>
      </c>
      <c r="H88" s="217">
        <v>5000</v>
      </c>
      <c r="I88" s="216">
        <v>7113</v>
      </c>
      <c r="J88" s="216">
        <v>0</v>
      </c>
      <c r="K88" s="216">
        <f>I88+J88</f>
        <v>7113</v>
      </c>
      <c r="L88" s="532">
        <v>6800</v>
      </c>
      <c r="M88" s="217"/>
      <c r="N88" s="217"/>
      <c r="O88" s="216">
        <f>M88+N88</f>
        <v>0</v>
      </c>
      <c r="P88" s="365">
        <v>6800</v>
      </c>
      <c r="Q88" s="365">
        <v>6800</v>
      </c>
      <c r="R88" s="365">
        <v>6800</v>
      </c>
    </row>
    <row r="89" spans="1:18" hidden="1" outlineLevel="2">
      <c r="A89" s="33" t="s">
        <v>2</v>
      </c>
      <c r="B89" s="42" t="s">
        <v>158</v>
      </c>
      <c r="C89" s="127">
        <v>310299</v>
      </c>
      <c r="D89" s="11" t="s">
        <v>54</v>
      </c>
      <c r="F89" s="277">
        <f t="shared" ref="F89" si="89">SUM(F86:F88)</f>
        <v>32000</v>
      </c>
      <c r="G89" s="296">
        <f t="shared" ref="G89" si="90">SUM(G86:G88)</f>
        <v>33807</v>
      </c>
      <c r="H89" s="223">
        <f t="shared" ref="H89:N89" si="91">SUM(H86:H88)</f>
        <v>36000</v>
      </c>
      <c r="I89" s="223">
        <f t="shared" si="91"/>
        <v>33540</v>
      </c>
      <c r="J89" s="223">
        <f t="shared" si="91"/>
        <v>0</v>
      </c>
      <c r="K89" s="223">
        <f t="shared" si="91"/>
        <v>33540</v>
      </c>
      <c r="L89" s="531">
        <f t="shared" ref="L89:P89" si="92">SUM(L86:L88)</f>
        <v>21800</v>
      </c>
      <c r="M89" s="223">
        <f t="shared" si="91"/>
        <v>0</v>
      </c>
      <c r="N89" s="252">
        <f t="shared" si="91"/>
        <v>0</v>
      </c>
      <c r="O89" s="223">
        <f t="shared" ref="O89" si="93">SUM(O86:O88)</f>
        <v>0</v>
      </c>
      <c r="P89" s="271">
        <f t="shared" si="92"/>
        <v>21800</v>
      </c>
      <c r="Q89" s="271">
        <f t="shared" ref="Q89:R89" si="94">SUM(Q86:Q88)</f>
        <v>21800</v>
      </c>
      <c r="R89" s="271">
        <f t="shared" si="94"/>
        <v>21800</v>
      </c>
    </row>
    <row r="90" spans="1:18" ht="9" hidden="1" customHeight="1" outlineLevel="1">
      <c r="B90" s="41"/>
      <c r="E90" s="417"/>
      <c r="F90" s="270"/>
      <c r="G90" s="298"/>
      <c r="H90" s="215"/>
      <c r="I90" s="6"/>
      <c r="J90" s="6"/>
      <c r="K90" s="213"/>
      <c r="L90" s="528"/>
      <c r="M90" s="187"/>
      <c r="N90" s="187"/>
      <c r="O90" s="187"/>
      <c r="P90" s="269"/>
      <c r="Q90" s="269"/>
      <c r="R90" s="269"/>
    </row>
    <row r="91" spans="1:18" hidden="1" outlineLevel="1" collapsed="1">
      <c r="A91" s="33" t="s">
        <v>0</v>
      </c>
      <c r="B91" s="41" t="s">
        <v>85</v>
      </c>
      <c r="C91" s="127">
        <v>310300</v>
      </c>
      <c r="D91" s="16" t="s">
        <v>220</v>
      </c>
      <c r="E91" s="417"/>
      <c r="F91" s="277">
        <f t="shared" ref="F91" si="95">F95</f>
        <v>11000</v>
      </c>
      <c r="G91" s="296">
        <f t="shared" ref="G91" si="96">G95</f>
        <v>19671</v>
      </c>
      <c r="H91" s="223">
        <f t="shared" ref="H91:N91" si="97">H95</f>
        <v>14500</v>
      </c>
      <c r="I91" s="223">
        <f t="shared" si="97"/>
        <v>24852</v>
      </c>
      <c r="J91" s="223">
        <f t="shared" si="97"/>
        <v>0</v>
      </c>
      <c r="K91" s="223">
        <f>I91+J91</f>
        <v>24852</v>
      </c>
      <c r="L91" s="531">
        <f t="shared" si="97"/>
        <v>18070</v>
      </c>
      <c r="M91" s="223">
        <f t="shared" si="97"/>
        <v>0</v>
      </c>
      <c r="N91" s="252">
        <f t="shared" si="97"/>
        <v>0</v>
      </c>
      <c r="O91" s="223">
        <f>M91+N91</f>
        <v>0</v>
      </c>
      <c r="P91" s="271">
        <f t="shared" ref="P91:Q91" si="98">P95</f>
        <v>18100</v>
      </c>
      <c r="Q91" s="271">
        <f t="shared" si="98"/>
        <v>18100</v>
      </c>
      <c r="R91" s="271">
        <f t="shared" ref="R91" si="99">R95</f>
        <v>18100</v>
      </c>
    </row>
    <row r="92" spans="1:18" hidden="1" outlineLevel="2">
      <c r="A92" s="33" t="s">
        <v>136</v>
      </c>
      <c r="B92" s="41">
        <v>6002</v>
      </c>
      <c r="C92" s="127">
        <v>310301</v>
      </c>
      <c r="D92" s="14" t="s">
        <v>221</v>
      </c>
      <c r="F92" s="278">
        <v>1500</v>
      </c>
      <c r="G92" s="298">
        <v>2140</v>
      </c>
      <c r="H92" s="215">
        <v>1500</v>
      </c>
      <c r="I92" s="213">
        <v>0</v>
      </c>
      <c r="J92" s="213">
        <v>0</v>
      </c>
      <c r="K92" s="215">
        <f>I92+J92</f>
        <v>0</v>
      </c>
      <c r="L92" s="528">
        <v>1070</v>
      </c>
      <c r="M92" s="187"/>
      <c r="N92" s="187"/>
      <c r="O92" s="215">
        <f>M92+N92</f>
        <v>0</v>
      </c>
      <c r="P92" s="269">
        <v>1100</v>
      </c>
      <c r="Q92" s="269">
        <v>1100</v>
      </c>
      <c r="R92" s="269">
        <v>1100</v>
      </c>
    </row>
    <row r="93" spans="1:18" hidden="1" outlineLevel="2">
      <c r="A93" s="33" t="s">
        <v>136</v>
      </c>
      <c r="B93" s="41">
        <v>60021</v>
      </c>
      <c r="C93" s="127">
        <v>310302</v>
      </c>
      <c r="D93" s="14" t="s">
        <v>222</v>
      </c>
      <c r="F93" s="278">
        <v>9000</v>
      </c>
      <c r="G93" s="299">
        <v>14529</v>
      </c>
      <c r="H93" s="215">
        <v>12000</v>
      </c>
      <c r="I93" s="213">
        <v>22599</v>
      </c>
      <c r="J93" s="213">
        <v>0</v>
      </c>
      <c r="K93" s="215">
        <f>I93+J93</f>
        <v>22599</v>
      </c>
      <c r="L93" s="528">
        <v>15000</v>
      </c>
      <c r="M93" s="187"/>
      <c r="N93" s="187"/>
      <c r="O93" s="215">
        <f>M93+N93</f>
        <v>0</v>
      </c>
      <c r="P93" s="269">
        <v>15000</v>
      </c>
      <c r="Q93" s="269">
        <v>15000</v>
      </c>
      <c r="R93" s="269">
        <v>15000</v>
      </c>
    </row>
    <row r="94" spans="1:18" hidden="1" outlineLevel="2">
      <c r="A94" s="33" t="s">
        <v>136</v>
      </c>
      <c r="B94" s="41">
        <v>60022</v>
      </c>
      <c r="C94" s="127">
        <v>310303</v>
      </c>
      <c r="D94" s="14" t="s">
        <v>223</v>
      </c>
      <c r="F94" s="280">
        <v>500</v>
      </c>
      <c r="G94" s="300">
        <v>3002</v>
      </c>
      <c r="H94" s="217">
        <v>1000</v>
      </c>
      <c r="I94" s="216">
        <v>2253</v>
      </c>
      <c r="J94" s="216"/>
      <c r="K94" s="217">
        <f>I94+J94</f>
        <v>2253</v>
      </c>
      <c r="L94" s="532">
        <v>2000</v>
      </c>
      <c r="M94" s="217"/>
      <c r="N94" s="217"/>
      <c r="O94" s="217">
        <f>M94+N94</f>
        <v>0</v>
      </c>
      <c r="P94" s="365">
        <v>2000</v>
      </c>
      <c r="Q94" s="365">
        <v>2000</v>
      </c>
      <c r="R94" s="365">
        <v>2000</v>
      </c>
    </row>
    <row r="95" spans="1:18" hidden="1" outlineLevel="2">
      <c r="A95" s="33" t="s">
        <v>2</v>
      </c>
      <c r="B95" s="42" t="s">
        <v>158</v>
      </c>
      <c r="C95" s="132">
        <v>310399</v>
      </c>
      <c r="D95" s="11" t="s">
        <v>55</v>
      </c>
      <c r="F95" s="277">
        <f t="shared" ref="F95" si="100">SUM(F92:F94)</f>
        <v>11000</v>
      </c>
      <c r="G95" s="296">
        <f t="shared" ref="G95" si="101">SUM(G92:G94)</f>
        <v>19671</v>
      </c>
      <c r="H95" s="223">
        <f t="shared" ref="H95:J95" si="102">SUM(H92:H94)</f>
        <v>14500</v>
      </c>
      <c r="I95" s="223">
        <f t="shared" si="102"/>
        <v>24852</v>
      </c>
      <c r="J95" s="223">
        <f t="shared" si="102"/>
        <v>0</v>
      </c>
      <c r="K95" s="218">
        <f>I95+J95</f>
        <v>24852</v>
      </c>
      <c r="L95" s="531">
        <f t="shared" ref="L95:P95" si="103">SUM(L92:L94)</f>
        <v>18070</v>
      </c>
      <c r="M95" s="223">
        <f t="shared" si="103"/>
        <v>0</v>
      </c>
      <c r="N95" s="252">
        <f t="shared" si="103"/>
        <v>0</v>
      </c>
      <c r="O95" s="218">
        <f>M95+N95</f>
        <v>0</v>
      </c>
      <c r="P95" s="271">
        <f t="shared" si="103"/>
        <v>18100</v>
      </c>
      <c r="Q95" s="271">
        <f t="shared" ref="Q95:R95" si="104">SUM(Q92:Q94)</f>
        <v>18100</v>
      </c>
      <c r="R95" s="271">
        <f t="shared" si="104"/>
        <v>18100</v>
      </c>
    </row>
    <row r="96" spans="1:18" ht="9" hidden="1" customHeight="1" outlineLevel="1">
      <c r="B96" s="41"/>
      <c r="F96" s="270"/>
      <c r="G96" s="298"/>
      <c r="H96" s="215"/>
      <c r="I96" s="6"/>
      <c r="J96" s="6"/>
      <c r="K96" s="213"/>
      <c r="L96" s="528"/>
      <c r="M96" s="187"/>
      <c r="N96" s="187"/>
      <c r="O96" s="187"/>
      <c r="P96" s="269"/>
      <c r="Q96" s="269"/>
      <c r="R96" s="269"/>
    </row>
    <row r="97" spans="1:18" hidden="1" outlineLevel="1" collapsed="1">
      <c r="A97" s="33" t="s">
        <v>0</v>
      </c>
      <c r="B97" s="41"/>
      <c r="C97" s="132">
        <v>310400</v>
      </c>
      <c r="D97" s="11" t="s">
        <v>56</v>
      </c>
      <c r="E97" s="417"/>
      <c r="F97" s="277">
        <f t="shared" ref="F97" si="105">F103</f>
        <v>25000</v>
      </c>
      <c r="G97" s="296">
        <f t="shared" ref="G97" si="106">G103</f>
        <v>23220</v>
      </c>
      <c r="H97" s="223">
        <f t="shared" ref="H97:N97" si="107">H103</f>
        <v>22500</v>
      </c>
      <c r="I97" s="223">
        <f t="shared" si="107"/>
        <v>13370</v>
      </c>
      <c r="J97" s="223">
        <f t="shared" si="107"/>
        <v>0</v>
      </c>
      <c r="K97" s="223">
        <f t="shared" ref="K97:K103" si="108">I97+J97</f>
        <v>13370</v>
      </c>
      <c r="L97" s="531">
        <f t="shared" si="107"/>
        <v>13500</v>
      </c>
      <c r="M97" s="223">
        <f t="shared" si="107"/>
        <v>0</v>
      </c>
      <c r="N97" s="252">
        <f t="shared" si="107"/>
        <v>0</v>
      </c>
      <c r="O97" s="223">
        <f t="shared" ref="O97:O102" si="109">M97+N97</f>
        <v>0</v>
      </c>
      <c r="P97" s="271">
        <f t="shared" ref="P97:Q97" si="110">P103</f>
        <v>13500</v>
      </c>
      <c r="Q97" s="271">
        <f t="shared" si="110"/>
        <v>13500</v>
      </c>
      <c r="R97" s="271">
        <f t="shared" ref="R97" si="111">R103</f>
        <v>13500</v>
      </c>
    </row>
    <row r="98" spans="1:18" ht="15" hidden="1" customHeight="1" outlineLevel="2">
      <c r="A98" s="33" t="s">
        <v>136</v>
      </c>
      <c r="B98" s="41">
        <v>6502</v>
      </c>
      <c r="C98" s="127">
        <v>310401</v>
      </c>
      <c r="D98" s="14" t="s">
        <v>224</v>
      </c>
      <c r="F98" s="278">
        <v>6000</v>
      </c>
      <c r="G98" s="299">
        <v>4627</v>
      </c>
      <c r="H98" s="215">
        <v>4500</v>
      </c>
      <c r="I98" s="213">
        <v>2630</v>
      </c>
      <c r="J98" s="213">
        <v>0</v>
      </c>
      <c r="K98" s="215">
        <f t="shared" si="108"/>
        <v>2630</v>
      </c>
      <c r="L98" s="528">
        <v>2800</v>
      </c>
      <c r="M98" s="187"/>
      <c r="N98" s="187"/>
      <c r="O98" s="215">
        <f t="shared" si="109"/>
        <v>0</v>
      </c>
      <c r="P98" s="269">
        <v>2800</v>
      </c>
      <c r="Q98" s="269">
        <v>2800</v>
      </c>
      <c r="R98" s="269">
        <v>2800</v>
      </c>
    </row>
    <row r="99" spans="1:18" hidden="1" outlineLevel="2">
      <c r="A99" s="33" t="s">
        <v>136</v>
      </c>
      <c r="B99" s="41">
        <v>6500</v>
      </c>
      <c r="C99" s="127">
        <v>310402</v>
      </c>
      <c r="D99" s="14" t="s">
        <v>225</v>
      </c>
      <c r="F99" s="278">
        <v>12000</v>
      </c>
      <c r="G99" s="299">
        <v>13639</v>
      </c>
      <c r="H99" s="215">
        <v>12000</v>
      </c>
      <c r="I99" s="213">
        <v>9084</v>
      </c>
      <c r="J99" s="215">
        <v>0</v>
      </c>
      <c r="K99" s="215">
        <f t="shared" si="108"/>
        <v>9084</v>
      </c>
      <c r="L99" s="528">
        <v>9000</v>
      </c>
      <c r="M99" s="187"/>
      <c r="N99" s="187"/>
      <c r="O99" s="215">
        <f t="shared" si="109"/>
        <v>0</v>
      </c>
      <c r="P99" s="269">
        <v>9000</v>
      </c>
      <c r="Q99" s="269">
        <v>9000</v>
      </c>
      <c r="R99" s="269">
        <v>9000</v>
      </c>
    </row>
    <row r="100" spans="1:18" hidden="1" outlineLevel="2">
      <c r="A100" s="33" t="s">
        <v>136</v>
      </c>
      <c r="B100" s="41">
        <v>6501</v>
      </c>
      <c r="C100" s="127">
        <v>310403</v>
      </c>
      <c r="D100" s="14" t="s">
        <v>226</v>
      </c>
      <c r="F100" s="278">
        <v>2000</v>
      </c>
      <c r="G100" s="299">
        <v>0</v>
      </c>
      <c r="H100" s="215">
        <v>2000</v>
      </c>
      <c r="I100" s="213">
        <v>0</v>
      </c>
      <c r="J100" s="215">
        <v>0</v>
      </c>
      <c r="K100" s="215">
        <f t="shared" si="108"/>
        <v>0</v>
      </c>
      <c r="L100" s="528"/>
      <c r="M100" s="187"/>
      <c r="N100" s="187"/>
      <c r="O100" s="215">
        <f t="shared" si="109"/>
        <v>0</v>
      </c>
      <c r="P100" s="269"/>
      <c r="Q100" s="269"/>
      <c r="R100" s="269"/>
    </row>
    <row r="101" spans="1:18" hidden="1" outlineLevel="2">
      <c r="A101" s="33" t="s">
        <v>136</v>
      </c>
      <c r="B101" s="42" t="s">
        <v>85</v>
      </c>
      <c r="C101" s="127">
        <v>310405</v>
      </c>
      <c r="D101" s="14" t="s">
        <v>227</v>
      </c>
      <c r="F101" s="278">
        <v>3000</v>
      </c>
      <c r="G101" s="299">
        <v>2838</v>
      </c>
      <c r="H101" s="215">
        <v>3000</v>
      </c>
      <c r="I101" s="213">
        <v>1656</v>
      </c>
      <c r="J101" s="213">
        <v>0</v>
      </c>
      <c r="K101" s="215">
        <f t="shared" si="108"/>
        <v>1656</v>
      </c>
      <c r="L101" s="528">
        <v>1700</v>
      </c>
      <c r="M101" s="187"/>
      <c r="N101" s="187"/>
      <c r="O101" s="215">
        <f t="shared" si="109"/>
        <v>0</v>
      </c>
      <c r="P101" s="269">
        <v>1700</v>
      </c>
      <c r="Q101" s="269">
        <v>1700</v>
      </c>
      <c r="R101" s="269">
        <v>1700</v>
      </c>
    </row>
    <row r="102" spans="1:18" hidden="1" outlineLevel="2">
      <c r="A102" s="33" t="s">
        <v>136</v>
      </c>
      <c r="B102" s="42" t="s">
        <v>85</v>
      </c>
      <c r="C102" s="127">
        <v>310408</v>
      </c>
      <c r="D102" s="14" t="s">
        <v>228</v>
      </c>
      <c r="F102" s="280">
        <v>2000</v>
      </c>
      <c r="G102" s="304">
        <v>2116</v>
      </c>
      <c r="H102" s="217">
        <v>1000</v>
      </c>
      <c r="I102" s="216">
        <v>0</v>
      </c>
      <c r="J102" s="217">
        <v>0</v>
      </c>
      <c r="K102" s="217">
        <f t="shared" si="108"/>
        <v>0</v>
      </c>
      <c r="L102" s="532">
        <v>0</v>
      </c>
      <c r="M102" s="217"/>
      <c r="N102" s="217"/>
      <c r="O102" s="217">
        <f t="shared" si="109"/>
        <v>0</v>
      </c>
      <c r="P102" s="365">
        <v>0</v>
      </c>
      <c r="Q102" s="365">
        <v>0</v>
      </c>
      <c r="R102" s="365">
        <v>0</v>
      </c>
    </row>
    <row r="103" spans="1:18" hidden="1" outlineLevel="2">
      <c r="A103" s="33" t="s">
        <v>2</v>
      </c>
      <c r="B103" s="42" t="s">
        <v>158</v>
      </c>
      <c r="C103" s="132">
        <v>310499</v>
      </c>
      <c r="D103" s="11" t="s">
        <v>71</v>
      </c>
      <c r="F103" s="277">
        <f>SUM(F98:F102)</f>
        <v>25000</v>
      </c>
      <c r="G103" s="296">
        <f>SUM(G98:G102)</f>
        <v>23220</v>
      </c>
      <c r="H103" s="223">
        <f>SUM(H98:H102)</f>
        <v>22500</v>
      </c>
      <c r="I103" s="223">
        <f>SUM(I98:I102)</f>
        <v>13370</v>
      </c>
      <c r="J103" s="223">
        <f>SUM(J98:J102)</f>
        <v>0</v>
      </c>
      <c r="K103" s="215">
        <f t="shared" si="108"/>
        <v>13370</v>
      </c>
      <c r="L103" s="531">
        <f>SUM(L98:L102)</f>
        <v>13500</v>
      </c>
      <c r="M103" s="223">
        <f>SUM(M98:M102)</f>
        <v>0</v>
      </c>
      <c r="N103" s="252">
        <f>SUM(N98:N102)</f>
        <v>0</v>
      </c>
      <c r="O103" s="215">
        <f t="shared" ref="O103" si="112">M103+N103</f>
        <v>0</v>
      </c>
      <c r="P103" s="271">
        <f>SUM(P98:P102)</f>
        <v>13500</v>
      </c>
      <c r="Q103" s="271">
        <f>SUM(Q98:Q102)</f>
        <v>13500</v>
      </c>
      <c r="R103" s="271">
        <f>SUM(R98:R102)</f>
        <v>13500</v>
      </c>
    </row>
    <row r="104" spans="1:18" ht="9" hidden="1" customHeight="1" outlineLevel="1">
      <c r="B104" s="42"/>
      <c r="C104" s="132"/>
      <c r="D104" s="11"/>
      <c r="F104" s="277"/>
      <c r="G104" s="296"/>
      <c r="H104" s="223"/>
      <c r="I104" s="223"/>
      <c r="J104" s="223"/>
      <c r="K104" s="215"/>
      <c r="L104" s="531"/>
      <c r="M104" s="252"/>
      <c r="N104" s="252"/>
      <c r="O104" s="252"/>
      <c r="P104" s="271"/>
      <c r="Q104" s="271"/>
      <c r="R104" s="271"/>
    </row>
    <row r="105" spans="1:18" hidden="1" outlineLevel="1">
      <c r="A105" s="55" t="s">
        <v>136</v>
      </c>
      <c r="B105" s="42"/>
      <c r="C105" s="127">
        <v>310501</v>
      </c>
      <c r="D105" s="14" t="s">
        <v>193</v>
      </c>
      <c r="E105" s="417"/>
      <c r="F105" s="278">
        <v>5000</v>
      </c>
      <c r="G105" s="299">
        <v>47863</v>
      </c>
      <c r="H105" s="215">
        <v>75000</v>
      </c>
      <c r="I105" s="213">
        <v>20180</v>
      </c>
      <c r="J105" s="170">
        <v>0</v>
      </c>
      <c r="K105" s="215">
        <f>I105+J105</f>
        <v>20180</v>
      </c>
      <c r="L105" s="533">
        <v>4000</v>
      </c>
      <c r="M105" s="145"/>
      <c r="N105" s="145"/>
      <c r="O105" s="215">
        <f>M105+N105</f>
        <v>0</v>
      </c>
      <c r="P105" s="363">
        <v>10000</v>
      </c>
      <c r="Q105" s="363">
        <v>10000</v>
      </c>
      <c r="R105" s="363">
        <v>10000</v>
      </c>
    </row>
    <row r="106" spans="1:18" hidden="1" outlineLevel="1">
      <c r="A106" s="55" t="s">
        <v>136</v>
      </c>
      <c r="B106" s="42"/>
      <c r="C106" s="127">
        <v>310505</v>
      </c>
      <c r="D106" s="14" t="s">
        <v>229</v>
      </c>
      <c r="F106" s="278">
        <v>5000</v>
      </c>
      <c r="G106" s="298">
        <v>0</v>
      </c>
      <c r="H106" s="215">
        <v>0</v>
      </c>
      <c r="I106" s="213">
        <v>0</v>
      </c>
      <c r="J106" s="213">
        <v>0</v>
      </c>
      <c r="K106" s="223">
        <f t="shared" ref="K106" si="113">K111</f>
        <v>0</v>
      </c>
      <c r="L106" s="411">
        <v>0</v>
      </c>
      <c r="M106" s="139"/>
      <c r="N106" s="139"/>
      <c r="O106" s="223">
        <f t="shared" ref="O106" si="114">O111</f>
        <v>0</v>
      </c>
      <c r="P106" s="270">
        <v>0</v>
      </c>
      <c r="Q106" s="270">
        <v>0</v>
      </c>
      <c r="R106" s="270">
        <v>0</v>
      </c>
    </row>
    <row r="107" spans="1:18" ht="9" hidden="1" customHeight="1" outlineLevel="1">
      <c r="B107" s="42"/>
      <c r="D107" s="11"/>
      <c r="F107" s="271"/>
      <c r="G107" s="296"/>
      <c r="H107" s="223"/>
      <c r="I107" s="6"/>
      <c r="J107" s="6"/>
      <c r="K107" s="213"/>
      <c r="L107" s="528"/>
      <c r="M107" s="187"/>
      <c r="N107" s="187"/>
      <c r="O107" s="187"/>
      <c r="P107" s="269"/>
      <c r="Q107" s="269"/>
      <c r="R107" s="269"/>
    </row>
    <row r="108" spans="1:18" hidden="1" outlineLevel="1">
      <c r="A108" s="33" t="s">
        <v>2</v>
      </c>
      <c r="B108" s="41"/>
      <c r="D108" s="11" t="s">
        <v>39</v>
      </c>
      <c r="F108" s="277">
        <f t="shared" ref="F108:R108" si="115">F83+F89+F95+F103+F105+F106</f>
        <v>100000</v>
      </c>
      <c r="G108" s="296">
        <f t="shared" si="115"/>
        <v>140689</v>
      </c>
      <c r="H108" s="223">
        <f t="shared" si="115"/>
        <v>167700</v>
      </c>
      <c r="I108" s="223">
        <f t="shared" si="115"/>
        <v>106840</v>
      </c>
      <c r="J108" s="223">
        <f t="shared" si="115"/>
        <v>0</v>
      </c>
      <c r="K108" s="223">
        <f t="shared" si="115"/>
        <v>106840</v>
      </c>
      <c r="L108" s="531">
        <f>L83+L89+L95+L103+L105+L106</f>
        <v>72470</v>
      </c>
      <c r="M108" s="223">
        <f t="shared" si="115"/>
        <v>0</v>
      </c>
      <c r="N108" s="252">
        <f t="shared" si="115"/>
        <v>0</v>
      </c>
      <c r="O108" s="223">
        <f t="shared" si="115"/>
        <v>0</v>
      </c>
      <c r="P108" s="271">
        <f t="shared" si="115"/>
        <v>79500</v>
      </c>
      <c r="Q108" s="271">
        <f t="shared" si="115"/>
        <v>80100</v>
      </c>
      <c r="R108" s="271">
        <f t="shared" si="115"/>
        <v>80100</v>
      </c>
    </row>
    <row r="109" spans="1:18" ht="15" customHeight="1" collapsed="1">
      <c r="A109" s="33" t="s">
        <v>0</v>
      </c>
      <c r="B109" s="41"/>
      <c r="C109" s="130">
        <v>320000</v>
      </c>
      <c r="D109" s="63" t="s">
        <v>45</v>
      </c>
      <c r="E109" s="311"/>
      <c r="F109" s="278">
        <f>F125</f>
        <v>81000</v>
      </c>
      <c r="G109" s="298">
        <f t="shared" ref="G109" si="116">G125</f>
        <v>13550</v>
      </c>
      <c r="H109" s="215">
        <f>H125</f>
        <v>78500</v>
      </c>
      <c r="I109" s="215">
        <f>I125</f>
        <v>35548</v>
      </c>
      <c r="J109" s="215">
        <f t="shared" ref="J109:K109" si="117">J125</f>
        <v>0</v>
      </c>
      <c r="K109" s="215">
        <f t="shared" si="117"/>
        <v>35548</v>
      </c>
      <c r="L109" s="411">
        <f>L125</f>
        <v>16000</v>
      </c>
      <c r="M109" s="215">
        <f>M125</f>
        <v>0</v>
      </c>
      <c r="N109" s="139">
        <f t="shared" ref="N109:O109" si="118">N125</f>
        <v>0</v>
      </c>
      <c r="O109" s="215">
        <f t="shared" si="118"/>
        <v>0</v>
      </c>
      <c r="P109" s="270">
        <f>P125</f>
        <v>16500</v>
      </c>
      <c r="Q109" s="270">
        <f>Q125</f>
        <v>16500</v>
      </c>
      <c r="R109" s="270">
        <f>R125</f>
        <v>16500</v>
      </c>
    </row>
    <row r="110" spans="1:18" s="4" customFormat="1" hidden="1" outlineLevel="1" collapsed="1">
      <c r="A110" s="50" t="s">
        <v>0</v>
      </c>
      <c r="B110" s="41"/>
      <c r="C110" s="130">
        <v>320100</v>
      </c>
      <c r="D110" s="66" t="s">
        <v>50</v>
      </c>
      <c r="E110" s="417"/>
      <c r="F110" s="277"/>
      <c r="G110" s="296"/>
      <c r="H110" s="215">
        <f>H114</f>
        <v>4000</v>
      </c>
      <c r="I110" s="215">
        <f t="shared" ref="I110:K110" si="119">I114</f>
        <v>0</v>
      </c>
      <c r="J110" s="215">
        <f t="shared" si="119"/>
        <v>0</v>
      </c>
      <c r="K110" s="215">
        <f t="shared" si="119"/>
        <v>0</v>
      </c>
      <c r="L110" s="531">
        <f>L114</f>
        <v>6000</v>
      </c>
      <c r="M110" s="215">
        <f t="shared" ref="M110:O110" si="120">M114</f>
        <v>0</v>
      </c>
      <c r="N110" s="139"/>
      <c r="O110" s="215">
        <f t="shared" si="120"/>
        <v>0</v>
      </c>
      <c r="P110" s="271">
        <f>P114</f>
        <v>6500</v>
      </c>
      <c r="Q110" s="271">
        <f>Q114</f>
        <v>6500</v>
      </c>
      <c r="R110" s="271">
        <f>R114</f>
        <v>6500</v>
      </c>
    </row>
    <row r="111" spans="1:18" s="4" customFormat="1" hidden="1" outlineLevel="2">
      <c r="A111" s="50" t="s">
        <v>136</v>
      </c>
      <c r="B111" s="41">
        <v>4042</v>
      </c>
      <c r="C111" s="107">
        <v>320101</v>
      </c>
      <c r="D111" s="67" t="s">
        <v>230</v>
      </c>
      <c r="E111" s="418"/>
      <c r="F111" s="278">
        <v>0</v>
      </c>
      <c r="G111" s="298">
        <v>0</v>
      </c>
      <c r="H111" s="215">
        <v>0</v>
      </c>
      <c r="I111" s="215">
        <v>0</v>
      </c>
      <c r="J111" s="215">
        <v>0</v>
      </c>
      <c r="K111" s="215">
        <f>I111+J111</f>
        <v>0</v>
      </c>
      <c r="L111" s="411">
        <v>0</v>
      </c>
      <c r="M111" s="215">
        <v>0</v>
      </c>
      <c r="N111" s="139"/>
      <c r="O111" s="215">
        <f>M111+N111</f>
        <v>0</v>
      </c>
      <c r="P111" s="271"/>
      <c r="Q111" s="271"/>
      <c r="R111" s="271"/>
    </row>
    <row r="112" spans="1:18" s="4" customFormat="1" hidden="1" outlineLevel="2">
      <c r="A112" s="50" t="s">
        <v>136</v>
      </c>
      <c r="B112" s="41">
        <v>4040</v>
      </c>
      <c r="C112" s="107">
        <v>320102</v>
      </c>
      <c r="D112" s="67" t="s">
        <v>231</v>
      </c>
      <c r="E112" s="418"/>
      <c r="F112" s="278">
        <v>3000</v>
      </c>
      <c r="G112" s="298">
        <v>0</v>
      </c>
      <c r="H112" s="215">
        <v>3000</v>
      </c>
      <c r="I112" s="215">
        <v>0</v>
      </c>
      <c r="J112" s="215">
        <v>0</v>
      </c>
      <c r="K112" s="215">
        <f>I112+J112</f>
        <v>0</v>
      </c>
      <c r="L112" s="411">
        <v>5000</v>
      </c>
      <c r="M112" s="215">
        <v>0</v>
      </c>
      <c r="N112" s="139"/>
      <c r="O112" s="215">
        <f>M112+N112</f>
        <v>0</v>
      </c>
      <c r="P112" s="270">
        <v>5000</v>
      </c>
      <c r="Q112" s="270">
        <v>5000</v>
      </c>
      <c r="R112" s="270">
        <v>5000</v>
      </c>
    </row>
    <row r="113" spans="1:18" s="4" customFormat="1" hidden="1" outlineLevel="2">
      <c r="A113" s="50" t="s">
        <v>136</v>
      </c>
      <c r="B113" s="41">
        <v>4043</v>
      </c>
      <c r="C113" s="107">
        <v>320103</v>
      </c>
      <c r="D113" s="67" t="s">
        <v>232</v>
      </c>
      <c r="E113" s="418"/>
      <c r="F113" s="280">
        <v>1000</v>
      </c>
      <c r="G113" s="300">
        <v>0</v>
      </c>
      <c r="H113" s="217">
        <v>1000</v>
      </c>
      <c r="I113" s="217">
        <v>0</v>
      </c>
      <c r="J113" s="217">
        <v>0</v>
      </c>
      <c r="K113" s="217">
        <f>I113+J113</f>
        <v>0</v>
      </c>
      <c r="L113" s="532">
        <v>1000</v>
      </c>
      <c r="M113" s="217">
        <v>0</v>
      </c>
      <c r="N113" s="217"/>
      <c r="O113" s="217">
        <f>M113+N113</f>
        <v>0</v>
      </c>
      <c r="P113" s="365">
        <v>1500</v>
      </c>
      <c r="Q113" s="365">
        <v>1500</v>
      </c>
      <c r="R113" s="365">
        <v>1500</v>
      </c>
    </row>
    <row r="114" spans="1:18" s="4" customFormat="1" hidden="1" outlineLevel="2">
      <c r="A114" s="50" t="s">
        <v>2</v>
      </c>
      <c r="B114" s="42" t="s">
        <v>181</v>
      </c>
      <c r="C114" s="130">
        <v>320199</v>
      </c>
      <c r="D114" s="66" t="s">
        <v>65</v>
      </c>
      <c r="E114" s="418"/>
      <c r="F114" s="277">
        <f t="shared" ref="F114" si="121">SUM(F111:F113)</f>
        <v>4000</v>
      </c>
      <c r="G114" s="296">
        <f t="shared" ref="G114" si="122">SUM(G111:G113)</f>
        <v>0</v>
      </c>
      <c r="H114" s="223">
        <f t="shared" ref="H114:L114" si="123">SUM(H111:H113)</f>
        <v>4000</v>
      </c>
      <c r="I114" s="223">
        <f t="shared" si="123"/>
        <v>0</v>
      </c>
      <c r="J114" s="223">
        <f t="shared" si="123"/>
        <v>0</v>
      </c>
      <c r="K114" s="215">
        <f>I114+J114</f>
        <v>0</v>
      </c>
      <c r="L114" s="531">
        <f t="shared" si="123"/>
        <v>6000</v>
      </c>
      <c r="M114" s="223">
        <f t="shared" ref="M114:N114" si="124">SUM(M111:M113)</f>
        <v>0</v>
      </c>
      <c r="N114" s="252">
        <f t="shared" si="124"/>
        <v>0</v>
      </c>
      <c r="O114" s="215">
        <f>M114+N114</f>
        <v>0</v>
      </c>
      <c r="P114" s="271">
        <f t="shared" ref="P114:Q114" si="125">SUM(P111:P113)</f>
        <v>6500</v>
      </c>
      <c r="Q114" s="271">
        <f t="shared" si="125"/>
        <v>6500</v>
      </c>
      <c r="R114" s="271">
        <f t="shared" ref="R114" si="126">SUM(R111:R113)</f>
        <v>6500</v>
      </c>
    </row>
    <row r="115" spans="1:18" s="4" customFormat="1" ht="9" hidden="1" customHeight="1" outlineLevel="1">
      <c r="A115" s="50"/>
      <c r="B115" s="41"/>
      <c r="C115" s="130"/>
      <c r="D115" s="66"/>
      <c r="E115" s="418"/>
      <c r="F115" s="271"/>
      <c r="G115" s="296"/>
      <c r="H115" s="223"/>
      <c r="I115" s="215"/>
      <c r="J115" s="215"/>
      <c r="K115" s="215">
        <f>I115+J115</f>
        <v>0</v>
      </c>
      <c r="L115" s="531"/>
      <c r="M115" s="252"/>
      <c r="N115" s="252"/>
      <c r="O115" s="252"/>
      <c r="P115" s="271"/>
      <c r="Q115" s="271"/>
      <c r="R115" s="271"/>
    </row>
    <row r="116" spans="1:18" s="4" customFormat="1" hidden="1" outlineLevel="1" collapsed="1">
      <c r="A116" s="50"/>
      <c r="B116" s="41"/>
      <c r="C116" s="130">
        <v>328800</v>
      </c>
      <c r="D116" s="66" t="s">
        <v>233</v>
      </c>
      <c r="E116" s="417"/>
      <c r="F116" s="271"/>
      <c r="G116" s="296"/>
      <c r="H116" s="215">
        <f>H123</f>
        <v>74500</v>
      </c>
      <c r="I116" s="215">
        <f t="shared" ref="I116:O116" si="127">I123</f>
        <v>35548</v>
      </c>
      <c r="J116" s="215">
        <f t="shared" si="127"/>
        <v>0</v>
      </c>
      <c r="K116" s="215">
        <f t="shared" si="127"/>
        <v>35548</v>
      </c>
      <c r="L116" s="531">
        <f>L123</f>
        <v>10000</v>
      </c>
      <c r="M116" s="215">
        <f t="shared" si="127"/>
        <v>0</v>
      </c>
      <c r="N116" s="139">
        <f t="shared" si="127"/>
        <v>0</v>
      </c>
      <c r="O116" s="215">
        <f t="shared" si="127"/>
        <v>0</v>
      </c>
      <c r="P116" s="271">
        <f>P123</f>
        <v>10000</v>
      </c>
      <c r="Q116" s="271">
        <f>Q123</f>
        <v>10000</v>
      </c>
      <c r="R116" s="271">
        <f>R123</f>
        <v>10000</v>
      </c>
    </row>
    <row r="117" spans="1:18" s="4" customFormat="1" hidden="1" outlineLevel="2">
      <c r="A117" s="50" t="s">
        <v>136</v>
      </c>
      <c r="B117" s="41">
        <v>4031</v>
      </c>
      <c r="C117" s="107">
        <v>328801</v>
      </c>
      <c r="D117" s="67" t="s">
        <v>26</v>
      </c>
      <c r="E117" s="418"/>
      <c r="F117" s="278">
        <v>500</v>
      </c>
      <c r="G117" s="298">
        <v>0</v>
      </c>
      <c r="H117" s="215">
        <v>500</v>
      </c>
      <c r="I117" s="215">
        <v>0</v>
      </c>
      <c r="J117" s="215"/>
      <c r="K117" s="215">
        <f t="shared" ref="K117:K123" si="128">I117+J117</f>
        <v>0</v>
      </c>
      <c r="L117" s="531">
        <v>0</v>
      </c>
      <c r="M117" s="252"/>
      <c r="N117" s="252"/>
      <c r="O117" s="215">
        <f t="shared" ref="O117:O122" si="129">M117+N117</f>
        <v>0</v>
      </c>
      <c r="P117" s="271">
        <v>0</v>
      </c>
      <c r="Q117" s="271">
        <v>0</v>
      </c>
      <c r="R117" s="271">
        <v>0</v>
      </c>
    </row>
    <row r="118" spans="1:18" s="4" customFormat="1" hidden="1" outlineLevel="2">
      <c r="A118" s="50" t="s">
        <v>136</v>
      </c>
      <c r="B118" s="41">
        <v>4001</v>
      </c>
      <c r="C118" s="107">
        <v>328811</v>
      </c>
      <c r="D118" s="67" t="s">
        <v>68</v>
      </c>
      <c r="E118" s="418"/>
      <c r="F118" s="278">
        <v>26000</v>
      </c>
      <c r="G118" s="299">
        <v>7650</v>
      </c>
      <c r="H118" s="215">
        <v>25000</v>
      </c>
      <c r="I118" s="215">
        <v>15495</v>
      </c>
      <c r="J118" s="215">
        <v>0</v>
      </c>
      <c r="K118" s="215">
        <f t="shared" si="128"/>
        <v>15495</v>
      </c>
      <c r="L118" s="531">
        <v>0</v>
      </c>
      <c r="M118" s="252"/>
      <c r="N118" s="252"/>
      <c r="O118" s="215">
        <f t="shared" si="129"/>
        <v>0</v>
      </c>
      <c r="P118" s="271">
        <v>0</v>
      </c>
      <c r="Q118" s="271">
        <v>0</v>
      </c>
      <c r="R118" s="271">
        <v>0</v>
      </c>
    </row>
    <row r="119" spans="1:18" s="4" customFormat="1" hidden="1" outlineLevel="2">
      <c r="A119" s="50" t="s">
        <v>136</v>
      </c>
      <c r="B119" s="41">
        <v>4030</v>
      </c>
      <c r="C119" s="107">
        <v>328831</v>
      </c>
      <c r="D119" s="67" t="s">
        <v>34</v>
      </c>
      <c r="E119" s="418"/>
      <c r="F119" s="278">
        <v>45500</v>
      </c>
      <c r="G119" s="298">
        <v>1000</v>
      </c>
      <c r="H119" s="215">
        <v>39000</v>
      </c>
      <c r="I119" s="215">
        <v>15853</v>
      </c>
      <c r="J119" s="215">
        <v>0</v>
      </c>
      <c r="K119" s="215">
        <f t="shared" si="128"/>
        <v>15853</v>
      </c>
      <c r="L119" s="531">
        <v>0</v>
      </c>
      <c r="M119" s="252"/>
      <c r="N119" s="252"/>
      <c r="O119" s="215">
        <f t="shared" si="129"/>
        <v>0</v>
      </c>
      <c r="P119" s="271">
        <v>0</v>
      </c>
      <c r="Q119" s="271">
        <v>0</v>
      </c>
      <c r="R119" s="271">
        <v>0</v>
      </c>
    </row>
    <row r="120" spans="1:18" s="4" customFormat="1" hidden="1" outlineLevel="2">
      <c r="A120" s="50" t="s">
        <v>136</v>
      </c>
      <c r="B120" s="41">
        <v>5120</v>
      </c>
      <c r="C120" s="107">
        <v>328841</v>
      </c>
      <c r="D120" s="67" t="s">
        <v>38</v>
      </c>
      <c r="E120" s="418"/>
      <c r="F120" s="278">
        <v>0</v>
      </c>
      <c r="G120" s="298">
        <v>0</v>
      </c>
      <c r="H120" s="215">
        <v>0</v>
      </c>
      <c r="I120" s="215">
        <v>0</v>
      </c>
      <c r="J120" s="215"/>
      <c r="K120" s="215">
        <f t="shared" si="128"/>
        <v>0</v>
      </c>
      <c r="L120" s="531">
        <v>0</v>
      </c>
      <c r="M120" s="252"/>
      <c r="N120" s="252"/>
      <c r="O120" s="215">
        <f t="shared" si="129"/>
        <v>0</v>
      </c>
      <c r="P120" s="271">
        <v>0</v>
      </c>
      <c r="Q120" s="271">
        <v>0</v>
      </c>
      <c r="R120" s="271">
        <v>0</v>
      </c>
    </row>
    <row r="121" spans="1:18" hidden="1" outlineLevel="2">
      <c r="A121" s="50" t="s">
        <v>136</v>
      </c>
      <c r="B121" s="41">
        <v>4020</v>
      </c>
      <c r="C121" s="107">
        <v>328851</v>
      </c>
      <c r="D121" s="67" t="s">
        <v>24</v>
      </c>
      <c r="E121" s="418"/>
      <c r="F121" s="278">
        <v>0</v>
      </c>
      <c r="G121" s="298">
        <v>0</v>
      </c>
      <c r="H121" s="215">
        <v>0</v>
      </c>
      <c r="I121" s="215">
        <v>0</v>
      </c>
      <c r="J121" s="215"/>
      <c r="K121" s="215">
        <f t="shared" si="128"/>
        <v>0</v>
      </c>
      <c r="L121" s="528">
        <v>0</v>
      </c>
      <c r="M121" s="187"/>
      <c r="N121" s="187"/>
      <c r="O121" s="215">
        <f t="shared" si="129"/>
        <v>0</v>
      </c>
      <c r="P121" s="269">
        <v>0</v>
      </c>
      <c r="Q121" s="269">
        <v>0</v>
      </c>
      <c r="R121" s="269">
        <v>0</v>
      </c>
    </row>
    <row r="122" spans="1:18" hidden="1" outlineLevel="2">
      <c r="A122" s="50" t="s">
        <v>136</v>
      </c>
      <c r="B122" s="42" t="s">
        <v>85</v>
      </c>
      <c r="C122" s="107">
        <v>328861</v>
      </c>
      <c r="D122" s="67" t="s">
        <v>182</v>
      </c>
      <c r="E122" s="419"/>
      <c r="F122" s="280">
        <v>5000</v>
      </c>
      <c r="G122" s="300">
        <v>4900</v>
      </c>
      <c r="H122" s="217">
        <v>10000</v>
      </c>
      <c r="I122" s="217">
        <v>4200</v>
      </c>
      <c r="J122" s="217">
        <v>0</v>
      </c>
      <c r="K122" s="217">
        <f t="shared" si="128"/>
        <v>4200</v>
      </c>
      <c r="L122" s="532">
        <v>10000</v>
      </c>
      <c r="M122" s="217"/>
      <c r="N122" s="217"/>
      <c r="O122" s="217">
        <f t="shared" si="129"/>
        <v>0</v>
      </c>
      <c r="P122" s="365">
        <v>10000</v>
      </c>
      <c r="Q122" s="365">
        <v>10000</v>
      </c>
      <c r="R122" s="365">
        <v>10000</v>
      </c>
    </row>
    <row r="123" spans="1:18" hidden="1" outlineLevel="2">
      <c r="A123" s="33" t="s">
        <v>2</v>
      </c>
      <c r="B123" s="42" t="s">
        <v>181</v>
      </c>
      <c r="C123" s="132">
        <v>328899</v>
      </c>
      <c r="D123" s="66" t="s">
        <v>234</v>
      </c>
      <c r="E123" s="418"/>
      <c r="F123" s="277">
        <f t="shared" ref="F123:G123" si="130">SUM(F117:F122)</f>
        <v>77000</v>
      </c>
      <c r="G123" s="296">
        <f t="shared" si="130"/>
        <v>13550</v>
      </c>
      <c r="H123" s="223">
        <f t="shared" ref="H123:N123" si="131">SUM(H117:H122)</f>
        <v>74500</v>
      </c>
      <c r="I123" s="223">
        <f t="shared" si="131"/>
        <v>35548</v>
      </c>
      <c r="J123" s="223">
        <f t="shared" si="131"/>
        <v>0</v>
      </c>
      <c r="K123" s="223">
        <f t="shared" si="128"/>
        <v>35548</v>
      </c>
      <c r="L123" s="531">
        <f t="shared" si="131"/>
        <v>10000</v>
      </c>
      <c r="M123" s="223">
        <f t="shared" si="131"/>
        <v>0</v>
      </c>
      <c r="N123" s="252">
        <f t="shared" si="131"/>
        <v>0</v>
      </c>
      <c r="O123" s="223">
        <f t="shared" ref="O123" si="132">M123+N123</f>
        <v>0</v>
      </c>
      <c r="P123" s="271">
        <f t="shared" ref="P123:Q123" si="133">SUM(P117:P122)</f>
        <v>10000</v>
      </c>
      <c r="Q123" s="271">
        <f t="shared" si="133"/>
        <v>10000</v>
      </c>
      <c r="R123" s="271">
        <f t="shared" ref="R123" si="134">SUM(R117:R122)</f>
        <v>10000</v>
      </c>
    </row>
    <row r="124" spans="1:18" ht="9" hidden="1" customHeight="1" outlineLevel="1">
      <c r="B124" s="41"/>
      <c r="D124" s="67"/>
      <c r="E124" s="418"/>
      <c r="F124" s="270"/>
      <c r="G124" s="298"/>
      <c r="H124" s="215"/>
      <c r="I124" s="215"/>
      <c r="J124" s="215"/>
      <c r="K124" s="215"/>
      <c r="L124" s="528"/>
      <c r="M124" s="187"/>
      <c r="N124" s="187"/>
      <c r="O124" s="187"/>
      <c r="P124" s="269"/>
      <c r="Q124" s="269"/>
      <c r="R124" s="269"/>
    </row>
    <row r="125" spans="1:18" hidden="1" outlineLevel="1">
      <c r="A125" s="33" t="s">
        <v>2</v>
      </c>
      <c r="B125" s="41">
        <v>4999</v>
      </c>
      <c r="C125" s="132">
        <v>399999</v>
      </c>
      <c r="D125" s="66" t="s">
        <v>57</v>
      </c>
      <c r="E125" s="418"/>
      <c r="F125" s="277">
        <f t="shared" ref="F125:G125" si="135">F114+F123</f>
        <v>81000</v>
      </c>
      <c r="G125" s="296">
        <f t="shared" si="135"/>
        <v>13550</v>
      </c>
      <c r="H125" s="223">
        <f t="shared" ref="H125:N125" si="136">H114+H123</f>
        <v>78500</v>
      </c>
      <c r="I125" s="223">
        <f t="shared" si="136"/>
        <v>35548</v>
      </c>
      <c r="J125" s="223">
        <f t="shared" si="136"/>
        <v>0</v>
      </c>
      <c r="K125" s="223">
        <f>I125+J125</f>
        <v>35548</v>
      </c>
      <c r="L125" s="531">
        <f t="shared" si="136"/>
        <v>16000</v>
      </c>
      <c r="M125" s="223">
        <f t="shared" si="136"/>
        <v>0</v>
      </c>
      <c r="N125" s="252">
        <f t="shared" si="136"/>
        <v>0</v>
      </c>
      <c r="O125" s="223">
        <f>M125+N125</f>
        <v>0</v>
      </c>
      <c r="P125" s="271">
        <f t="shared" ref="P125:Q125" si="137">P114+P123</f>
        <v>16500</v>
      </c>
      <c r="Q125" s="271">
        <f t="shared" si="137"/>
        <v>16500</v>
      </c>
      <c r="R125" s="271">
        <f t="shared" ref="R125" si="138">R114+R123</f>
        <v>16500</v>
      </c>
    </row>
    <row r="126" spans="1:18" collapsed="1">
      <c r="A126" s="33" t="s">
        <v>0</v>
      </c>
      <c r="B126" s="41"/>
      <c r="C126" s="130">
        <v>330000</v>
      </c>
      <c r="D126" s="63" t="s">
        <v>46</v>
      </c>
      <c r="E126" s="311"/>
      <c r="F126" s="278">
        <f t="shared" ref="F126" si="139">F157</f>
        <v>561900</v>
      </c>
      <c r="G126" s="298">
        <f t="shared" ref="G126" si="140">G157</f>
        <v>557448</v>
      </c>
      <c r="H126" s="215">
        <f t="shared" ref="H126:O126" si="141">H157</f>
        <v>523000</v>
      </c>
      <c r="I126" s="215">
        <f t="shared" si="141"/>
        <v>454963</v>
      </c>
      <c r="J126" s="170">
        <f t="shared" si="141"/>
        <v>0</v>
      </c>
      <c r="K126" s="215">
        <f t="shared" si="141"/>
        <v>454963</v>
      </c>
      <c r="L126" s="411">
        <f t="shared" si="141"/>
        <v>21400</v>
      </c>
      <c r="M126" s="215">
        <f t="shared" si="141"/>
        <v>0</v>
      </c>
      <c r="N126" s="145">
        <f t="shared" si="141"/>
        <v>0</v>
      </c>
      <c r="O126" s="215">
        <f t="shared" si="141"/>
        <v>0</v>
      </c>
      <c r="P126" s="270">
        <f t="shared" ref="P126:Q126" si="142">P157</f>
        <v>21400</v>
      </c>
      <c r="Q126" s="270">
        <f t="shared" si="142"/>
        <v>21400</v>
      </c>
      <c r="R126" s="270">
        <f t="shared" ref="R126" si="143">R157</f>
        <v>21400</v>
      </c>
    </row>
    <row r="127" spans="1:18" ht="15" hidden="1" customHeight="1" outlineLevel="1" collapsed="1">
      <c r="A127" s="33" t="s">
        <v>0</v>
      </c>
      <c r="B127" s="41"/>
      <c r="C127" s="132">
        <v>330100</v>
      </c>
      <c r="D127" s="66" t="s">
        <v>235</v>
      </c>
      <c r="E127" s="417"/>
      <c r="F127" s="278"/>
      <c r="G127" s="298"/>
      <c r="H127" s="215">
        <f>H131</f>
        <v>2700</v>
      </c>
      <c r="I127" s="215">
        <f t="shared" ref="I127:O127" si="144">I131</f>
        <v>348</v>
      </c>
      <c r="J127" s="215">
        <f t="shared" si="144"/>
        <v>0</v>
      </c>
      <c r="K127" s="215">
        <f t="shared" si="144"/>
        <v>348</v>
      </c>
      <c r="L127" s="539">
        <f>L131</f>
        <v>6000</v>
      </c>
      <c r="M127" s="215">
        <f t="shared" si="144"/>
        <v>0</v>
      </c>
      <c r="N127" s="139">
        <f t="shared" si="144"/>
        <v>0</v>
      </c>
      <c r="O127" s="215">
        <f t="shared" si="144"/>
        <v>0</v>
      </c>
      <c r="P127" s="400">
        <f>P131</f>
        <v>6000</v>
      </c>
      <c r="Q127" s="400">
        <f>Q131</f>
        <v>6000</v>
      </c>
      <c r="R127" s="400">
        <f>R131</f>
        <v>6000</v>
      </c>
    </row>
    <row r="128" spans="1:18" hidden="1" outlineLevel="2">
      <c r="A128" s="33" t="s">
        <v>136</v>
      </c>
      <c r="B128" s="41">
        <v>3033</v>
      </c>
      <c r="C128" s="127">
        <v>330101</v>
      </c>
      <c r="D128" s="67" t="s">
        <v>236</v>
      </c>
      <c r="E128" s="418"/>
      <c r="F128" s="278">
        <v>0</v>
      </c>
      <c r="G128" s="298">
        <v>0</v>
      </c>
      <c r="H128" s="215">
        <v>0</v>
      </c>
      <c r="I128" s="215">
        <v>0</v>
      </c>
      <c r="J128" s="215">
        <v>0</v>
      </c>
      <c r="K128" s="215">
        <f>I128+J128</f>
        <v>0</v>
      </c>
      <c r="L128" s="414">
        <v>0</v>
      </c>
      <c r="M128" s="86"/>
      <c r="N128" s="86"/>
      <c r="O128" s="215">
        <f>M128+N128</f>
        <v>0</v>
      </c>
      <c r="P128" s="374">
        <v>0</v>
      </c>
      <c r="Q128" s="374">
        <v>0</v>
      </c>
      <c r="R128" s="374">
        <v>0</v>
      </c>
    </row>
    <row r="129" spans="1:19" hidden="1" outlineLevel="2">
      <c r="A129" s="33" t="s">
        <v>136</v>
      </c>
      <c r="B129" s="41">
        <v>3031</v>
      </c>
      <c r="C129" s="127">
        <v>330102</v>
      </c>
      <c r="D129" s="67" t="s">
        <v>237</v>
      </c>
      <c r="E129" s="418"/>
      <c r="F129" s="278">
        <v>3000</v>
      </c>
      <c r="G129" s="298">
        <v>0</v>
      </c>
      <c r="H129" s="215">
        <v>2200</v>
      </c>
      <c r="I129" s="215">
        <v>0</v>
      </c>
      <c r="J129" s="215">
        <v>0</v>
      </c>
      <c r="K129" s="215">
        <f>I129+J129</f>
        <v>0</v>
      </c>
      <c r="L129" s="414">
        <v>5000</v>
      </c>
      <c r="M129" s="86"/>
      <c r="N129" s="86"/>
      <c r="O129" s="215">
        <f>M129+N129</f>
        <v>0</v>
      </c>
      <c r="P129" s="374">
        <v>5000</v>
      </c>
      <c r="Q129" s="374">
        <v>5000</v>
      </c>
      <c r="R129" s="374">
        <v>5000</v>
      </c>
    </row>
    <row r="130" spans="1:19" ht="15" hidden="1" customHeight="1" outlineLevel="2">
      <c r="A130" s="33" t="s">
        <v>136</v>
      </c>
      <c r="B130" s="41">
        <v>3030</v>
      </c>
      <c r="C130" s="127">
        <v>330103</v>
      </c>
      <c r="D130" s="67" t="s">
        <v>238</v>
      </c>
      <c r="E130" s="418"/>
      <c r="F130" s="280">
        <v>600</v>
      </c>
      <c r="G130" s="300">
        <v>0</v>
      </c>
      <c r="H130" s="217">
        <v>500</v>
      </c>
      <c r="I130" s="217">
        <v>348</v>
      </c>
      <c r="J130" s="217">
        <v>0</v>
      </c>
      <c r="K130" s="217">
        <f>I130+J130</f>
        <v>348</v>
      </c>
      <c r="L130" s="540">
        <v>1000</v>
      </c>
      <c r="M130" s="259"/>
      <c r="N130" s="259"/>
      <c r="O130" s="217">
        <f>M130+N130</f>
        <v>0</v>
      </c>
      <c r="P130" s="376">
        <v>1000</v>
      </c>
      <c r="Q130" s="376">
        <v>1000</v>
      </c>
      <c r="R130" s="376">
        <v>1000</v>
      </c>
      <c r="S130" s="25"/>
    </row>
    <row r="131" spans="1:19" ht="14.4" hidden="1" outlineLevel="2">
      <c r="A131" s="33" t="s">
        <v>2</v>
      </c>
      <c r="B131" s="42" t="s">
        <v>158</v>
      </c>
      <c r="C131" s="132">
        <v>330199</v>
      </c>
      <c r="D131" s="66" t="s">
        <v>239</v>
      </c>
      <c r="E131" s="418"/>
      <c r="F131" s="277">
        <f t="shared" ref="F131" si="145">SUM(F128:F130)</f>
        <v>3600</v>
      </c>
      <c r="G131" s="296">
        <f t="shared" ref="G131" si="146">SUM(G128:G130)</f>
        <v>0</v>
      </c>
      <c r="H131" s="223">
        <f t="shared" ref="H131:J131" si="147">SUM(H128:H130)</f>
        <v>2700</v>
      </c>
      <c r="I131" s="223">
        <f t="shared" si="147"/>
        <v>348</v>
      </c>
      <c r="J131" s="223">
        <f t="shared" si="147"/>
        <v>0</v>
      </c>
      <c r="K131" s="223">
        <f>I131+J131</f>
        <v>348</v>
      </c>
      <c r="L131" s="531">
        <f t="shared" ref="L131:P131" si="148">SUM(L128:L130)</f>
        <v>6000</v>
      </c>
      <c r="M131" s="223">
        <f t="shared" si="148"/>
        <v>0</v>
      </c>
      <c r="N131" s="252">
        <f t="shared" si="148"/>
        <v>0</v>
      </c>
      <c r="O131" s="223">
        <f>M131+N131</f>
        <v>0</v>
      </c>
      <c r="P131" s="271">
        <f t="shared" si="148"/>
        <v>6000</v>
      </c>
      <c r="Q131" s="271">
        <f t="shared" ref="Q131:R131" si="149">SUM(Q128:Q130)</f>
        <v>6000</v>
      </c>
      <c r="R131" s="271">
        <f t="shared" si="149"/>
        <v>6000</v>
      </c>
      <c r="S131" s="26"/>
    </row>
    <row r="132" spans="1:19" ht="9" hidden="1" customHeight="1" outlineLevel="1">
      <c r="B132" s="41"/>
      <c r="D132" s="67"/>
      <c r="E132" s="418"/>
      <c r="F132" s="270"/>
      <c r="G132" s="298"/>
      <c r="H132" s="215"/>
      <c r="I132" s="215"/>
      <c r="J132" s="215"/>
      <c r="K132" s="215"/>
      <c r="L132" s="411"/>
      <c r="M132" s="139"/>
      <c r="N132" s="139"/>
      <c r="O132" s="139"/>
      <c r="P132" s="270"/>
      <c r="Q132" s="270"/>
      <c r="R132" s="270"/>
      <c r="S132" s="28"/>
    </row>
    <row r="133" spans="1:19" ht="14.4" hidden="1" outlineLevel="1" collapsed="1">
      <c r="A133" s="33" t="s">
        <v>0</v>
      </c>
      <c r="B133" s="41"/>
      <c r="C133" s="132">
        <v>330200</v>
      </c>
      <c r="D133" s="66" t="s">
        <v>78</v>
      </c>
      <c r="E133" s="417"/>
      <c r="F133" s="270"/>
      <c r="G133" s="298"/>
      <c r="H133" s="215">
        <f>H138</f>
        <v>376300</v>
      </c>
      <c r="I133" s="215">
        <f>I138</f>
        <v>356688</v>
      </c>
      <c r="J133" s="215">
        <f>J138</f>
        <v>0</v>
      </c>
      <c r="K133" s="215">
        <f t="shared" ref="K133:K138" si="150">I133+J133</f>
        <v>356688</v>
      </c>
      <c r="L133" s="411">
        <f>L138</f>
        <v>0</v>
      </c>
      <c r="M133" s="215">
        <f>M138</f>
        <v>0</v>
      </c>
      <c r="N133" s="139">
        <f>N138</f>
        <v>0</v>
      </c>
      <c r="O133" s="215">
        <f t="shared" ref="O133:O137" si="151">M133+N133</f>
        <v>0</v>
      </c>
      <c r="P133" s="270">
        <f>P138</f>
        <v>0</v>
      </c>
      <c r="Q133" s="270">
        <f>Q138</f>
        <v>0</v>
      </c>
      <c r="R133" s="270">
        <f>R138</f>
        <v>0</v>
      </c>
      <c r="S133" s="18"/>
    </row>
    <row r="134" spans="1:19" ht="14.4" hidden="1" outlineLevel="2">
      <c r="A134" s="33" t="s">
        <v>136</v>
      </c>
      <c r="B134" s="41"/>
      <c r="C134" s="127">
        <v>330201</v>
      </c>
      <c r="D134" s="67" t="s">
        <v>240</v>
      </c>
      <c r="E134" s="418"/>
      <c r="F134" s="278">
        <v>1500</v>
      </c>
      <c r="G134" s="298">
        <v>1140</v>
      </c>
      <c r="H134" s="215">
        <v>1500</v>
      </c>
      <c r="I134" s="215">
        <v>550</v>
      </c>
      <c r="J134" s="215">
        <v>0</v>
      </c>
      <c r="K134" s="215">
        <f t="shared" si="150"/>
        <v>550</v>
      </c>
      <c r="L134" s="411">
        <v>0</v>
      </c>
      <c r="M134" s="139"/>
      <c r="N134" s="139"/>
      <c r="O134" s="215">
        <f t="shared" si="151"/>
        <v>0</v>
      </c>
      <c r="P134" s="270">
        <v>0</v>
      </c>
      <c r="Q134" s="270">
        <v>0</v>
      </c>
      <c r="R134" s="270">
        <v>0</v>
      </c>
      <c r="S134" s="18"/>
    </row>
    <row r="135" spans="1:19" ht="14.4" hidden="1" outlineLevel="2">
      <c r="A135" s="33" t="s">
        <v>136</v>
      </c>
      <c r="B135" s="41"/>
      <c r="C135" s="127">
        <v>330202</v>
      </c>
      <c r="D135" s="67" t="s">
        <v>241</v>
      </c>
      <c r="E135" s="418"/>
      <c r="F135" s="278">
        <v>9000</v>
      </c>
      <c r="G135" s="299">
        <v>8941</v>
      </c>
      <c r="H135" s="215">
        <v>9000</v>
      </c>
      <c r="I135" s="215">
        <v>5778</v>
      </c>
      <c r="J135" s="215">
        <v>0</v>
      </c>
      <c r="K135" s="215">
        <f t="shared" si="150"/>
        <v>5778</v>
      </c>
      <c r="L135" s="411">
        <v>0</v>
      </c>
      <c r="M135" s="139"/>
      <c r="N135" s="139"/>
      <c r="O135" s="215">
        <f t="shared" si="151"/>
        <v>0</v>
      </c>
      <c r="P135" s="270">
        <v>0</v>
      </c>
      <c r="Q135" s="270">
        <v>0</v>
      </c>
      <c r="R135" s="270">
        <v>0</v>
      </c>
      <c r="S135" s="18"/>
    </row>
    <row r="136" spans="1:19" ht="14.4" hidden="1" outlineLevel="2">
      <c r="A136" s="33" t="s">
        <v>136</v>
      </c>
      <c r="B136" s="41"/>
      <c r="C136" s="127">
        <v>330203</v>
      </c>
      <c r="D136" s="67" t="s">
        <v>242</v>
      </c>
      <c r="E136" s="418"/>
      <c r="F136" s="278">
        <v>600</v>
      </c>
      <c r="G136" s="299">
        <v>675</v>
      </c>
      <c r="H136" s="215">
        <v>800</v>
      </c>
      <c r="I136" s="215">
        <v>826</v>
      </c>
      <c r="J136" s="215"/>
      <c r="K136" s="215">
        <f t="shared" si="150"/>
        <v>826</v>
      </c>
      <c r="L136" s="411">
        <v>0</v>
      </c>
      <c r="M136" s="139"/>
      <c r="N136" s="139"/>
      <c r="O136" s="215">
        <f t="shared" si="151"/>
        <v>0</v>
      </c>
      <c r="P136" s="270">
        <v>0</v>
      </c>
      <c r="Q136" s="270">
        <v>0</v>
      </c>
      <c r="R136" s="270">
        <v>0</v>
      </c>
      <c r="S136" s="18"/>
    </row>
    <row r="137" spans="1:19" ht="14.4" hidden="1" outlineLevel="2">
      <c r="A137" s="33" t="s">
        <v>136</v>
      </c>
      <c r="B137" s="41">
        <v>3002</v>
      </c>
      <c r="C137" s="127">
        <v>330205</v>
      </c>
      <c r="D137" s="67" t="s">
        <v>243</v>
      </c>
      <c r="E137" s="419"/>
      <c r="F137" s="282">
        <f>430000-79000</f>
        <v>351000</v>
      </c>
      <c r="G137" s="304">
        <v>357534</v>
      </c>
      <c r="H137" s="259">
        <v>365000</v>
      </c>
      <c r="I137" s="217">
        <v>349534</v>
      </c>
      <c r="J137" s="217">
        <v>0</v>
      </c>
      <c r="K137" s="217">
        <f t="shared" si="150"/>
        <v>349534</v>
      </c>
      <c r="L137" s="532">
        <v>0</v>
      </c>
      <c r="M137" s="217"/>
      <c r="N137" s="217"/>
      <c r="O137" s="217">
        <f t="shared" si="151"/>
        <v>0</v>
      </c>
      <c r="P137" s="365">
        <v>0</v>
      </c>
      <c r="Q137" s="365">
        <v>0</v>
      </c>
      <c r="R137" s="365">
        <v>0</v>
      </c>
      <c r="S137" s="18"/>
    </row>
    <row r="138" spans="1:19" ht="14.4" hidden="1" outlineLevel="2">
      <c r="A138" s="33" t="s">
        <v>2</v>
      </c>
      <c r="B138" s="42" t="s">
        <v>158</v>
      </c>
      <c r="C138" s="132">
        <v>330299</v>
      </c>
      <c r="D138" s="66" t="s">
        <v>79</v>
      </c>
      <c r="E138" s="418"/>
      <c r="F138" s="277">
        <f t="shared" ref="F138:G138" si="152">SUM(F134:F137)</f>
        <v>362100</v>
      </c>
      <c r="G138" s="296">
        <f t="shared" si="152"/>
        <v>368290</v>
      </c>
      <c r="H138" s="223">
        <f t="shared" ref="H138:N138" si="153">SUM(H134:H137)</f>
        <v>376300</v>
      </c>
      <c r="I138" s="223">
        <f t="shared" si="153"/>
        <v>356688</v>
      </c>
      <c r="J138" s="223">
        <f t="shared" si="153"/>
        <v>0</v>
      </c>
      <c r="K138" s="223">
        <f t="shared" si="150"/>
        <v>356688</v>
      </c>
      <c r="L138" s="531">
        <f t="shared" si="153"/>
        <v>0</v>
      </c>
      <c r="M138" s="223">
        <f t="shared" si="153"/>
        <v>0</v>
      </c>
      <c r="N138" s="252">
        <f t="shared" si="153"/>
        <v>0</v>
      </c>
      <c r="O138" s="223">
        <f t="shared" ref="O138" si="154">M138+N138</f>
        <v>0</v>
      </c>
      <c r="P138" s="271">
        <f t="shared" ref="P138:Q138" si="155">SUM(P134:P137)</f>
        <v>0</v>
      </c>
      <c r="Q138" s="271">
        <f t="shared" si="155"/>
        <v>0</v>
      </c>
      <c r="R138" s="271">
        <f t="shared" ref="R138" si="156">SUM(R134:R137)</f>
        <v>0</v>
      </c>
      <c r="S138" s="30"/>
    </row>
    <row r="139" spans="1:19" ht="9" hidden="1" customHeight="1" outlineLevel="1">
      <c r="B139" s="41"/>
      <c r="D139" s="67"/>
      <c r="E139" s="418"/>
      <c r="F139" s="270"/>
      <c r="G139" s="298"/>
      <c r="H139" s="215"/>
      <c r="I139" s="215"/>
      <c r="J139" s="215"/>
      <c r="K139" s="215"/>
      <c r="L139" s="411"/>
      <c r="M139" s="139"/>
      <c r="N139" s="139"/>
      <c r="O139" s="139"/>
      <c r="P139" s="270"/>
      <c r="Q139" s="270"/>
      <c r="R139" s="270"/>
      <c r="S139" s="18"/>
    </row>
    <row r="140" spans="1:19" ht="14.4" hidden="1" outlineLevel="1" collapsed="1">
      <c r="A140" s="33" t="s">
        <v>0</v>
      </c>
      <c r="B140" s="41">
        <v>3010</v>
      </c>
      <c r="C140" s="132">
        <v>330300</v>
      </c>
      <c r="D140" s="66" t="s">
        <v>16</v>
      </c>
      <c r="E140" s="417"/>
      <c r="F140" s="270"/>
      <c r="G140" s="298"/>
      <c r="H140" s="215">
        <f t="shared" ref="H140:R140" si="157">H145</f>
        <v>10000</v>
      </c>
      <c r="I140" s="215">
        <f t="shared" si="157"/>
        <v>10795</v>
      </c>
      <c r="J140" s="215">
        <f t="shared" si="157"/>
        <v>0</v>
      </c>
      <c r="K140" s="215">
        <f t="shared" si="157"/>
        <v>10795</v>
      </c>
      <c r="L140" s="411">
        <f t="shared" si="157"/>
        <v>10000</v>
      </c>
      <c r="M140" s="215">
        <f t="shared" si="157"/>
        <v>0</v>
      </c>
      <c r="N140" s="139">
        <f t="shared" si="157"/>
        <v>0</v>
      </c>
      <c r="O140" s="215">
        <f t="shared" si="157"/>
        <v>0</v>
      </c>
      <c r="P140" s="270">
        <f t="shared" si="157"/>
        <v>10000</v>
      </c>
      <c r="Q140" s="270">
        <f t="shared" si="157"/>
        <v>10000</v>
      </c>
      <c r="R140" s="270">
        <f t="shared" si="157"/>
        <v>10000</v>
      </c>
      <c r="S140" s="31"/>
    </row>
    <row r="141" spans="1:19" ht="14.4" hidden="1" outlineLevel="2">
      <c r="A141" s="33" t="s">
        <v>136</v>
      </c>
      <c r="B141" s="42" t="s">
        <v>85</v>
      </c>
      <c r="C141" s="127">
        <v>330301</v>
      </c>
      <c r="D141" s="67" t="s">
        <v>244</v>
      </c>
      <c r="E141" s="418"/>
      <c r="F141" s="278">
        <v>7500</v>
      </c>
      <c r="G141" s="298">
        <v>0</v>
      </c>
      <c r="H141" s="215">
        <v>0</v>
      </c>
      <c r="I141" s="215"/>
      <c r="J141" s="215"/>
      <c r="K141" s="215">
        <f>I141+J141</f>
        <v>0</v>
      </c>
      <c r="L141" s="411">
        <v>0</v>
      </c>
      <c r="M141" s="139"/>
      <c r="N141" s="139"/>
      <c r="O141" s="215">
        <f>M141+N141</f>
        <v>0</v>
      </c>
      <c r="P141" s="270">
        <v>0</v>
      </c>
      <c r="Q141" s="270">
        <v>0</v>
      </c>
      <c r="R141" s="270">
        <v>0</v>
      </c>
      <c r="S141" s="31"/>
    </row>
    <row r="142" spans="1:19" ht="14.4" hidden="1" outlineLevel="2">
      <c r="A142" s="33" t="s">
        <v>136</v>
      </c>
      <c r="B142" s="42" t="s">
        <v>85</v>
      </c>
      <c r="C142" s="127">
        <v>330302</v>
      </c>
      <c r="D142" s="67" t="s">
        <v>245</v>
      </c>
      <c r="E142" s="418"/>
      <c r="F142" s="278">
        <v>7500</v>
      </c>
      <c r="G142" s="298">
        <v>227</v>
      </c>
      <c r="H142" s="215">
        <v>0</v>
      </c>
      <c r="I142" s="215"/>
      <c r="J142" s="215"/>
      <c r="K142" s="215">
        <f>I142+J142</f>
        <v>0</v>
      </c>
      <c r="L142" s="411"/>
      <c r="M142" s="139"/>
      <c r="N142" s="139"/>
      <c r="O142" s="215">
        <f>M142+N142</f>
        <v>0</v>
      </c>
      <c r="P142" s="270"/>
      <c r="Q142" s="270"/>
      <c r="R142" s="270"/>
      <c r="S142" s="28"/>
    </row>
    <row r="143" spans="1:19" ht="14.4" hidden="1" outlineLevel="2">
      <c r="A143" s="33" t="s">
        <v>136</v>
      </c>
      <c r="B143" s="42" t="s">
        <v>85</v>
      </c>
      <c r="C143" s="127">
        <v>330303</v>
      </c>
      <c r="D143" s="67" t="s">
        <v>246</v>
      </c>
      <c r="E143" s="418"/>
      <c r="F143" s="278">
        <v>0</v>
      </c>
      <c r="G143" s="298">
        <v>0</v>
      </c>
      <c r="H143" s="215">
        <v>0</v>
      </c>
      <c r="I143" s="215"/>
      <c r="J143" s="215"/>
      <c r="K143" s="215">
        <f>I143+J143</f>
        <v>0</v>
      </c>
      <c r="L143" s="411"/>
      <c r="M143" s="139"/>
      <c r="N143" s="139"/>
      <c r="O143" s="215">
        <f>M143+N143</f>
        <v>0</v>
      </c>
      <c r="P143" s="270"/>
      <c r="Q143" s="270"/>
      <c r="R143" s="270"/>
      <c r="S143" s="18"/>
    </row>
    <row r="144" spans="1:19" ht="14.4" hidden="1" outlineLevel="2">
      <c r="A144" s="33" t="s">
        <v>136</v>
      </c>
      <c r="B144" s="42"/>
      <c r="C144" s="127">
        <v>330304</v>
      </c>
      <c r="D144" s="67" t="s">
        <v>247</v>
      </c>
      <c r="E144" s="418"/>
      <c r="F144" s="280">
        <v>10000</v>
      </c>
      <c r="G144" s="300">
        <v>9460</v>
      </c>
      <c r="H144" s="217">
        <v>10000</v>
      </c>
      <c r="I144" s="217">
        <v>10795</v>
      </c>
      <c r="J144" s="217">
        <v>0</v>
      </c>
      <c r="K144" s="217">
        <f>I144+J144</f>
        <v>10795</v>
      </c>
      <c r="L144" s="532">
        <v>10000</v>
      </c>
      <c r="M144" s="217"/>
      <c r="N144" s="217"/>
      <c r="O144" s="217">
        <f>M144+N144</f>
        <v>0</v>
      </c>
      <c r="P144" s="365">
        <v>10000</v>
      </c>
      <c r="Q144" s="365">
        <v>10000</v>
      </c>
      <c r="R144" s="365">
        <v>10000</v>
      </c>
      <c r="S144" s="18"/>
    </row>
    <row r="145" spans="1:19" ht="14.4" hidden="1" outlineLevel="2">
      <c r="A145" s="33" t="s">
        <v>2</v>
      </c>
      <c r="B145" s="42" t="s">
        <v>158</v>
      </c>
      <c r="C145" s="132">
        <v>330399</v>
      </c>
      <c r="D145" s="66" t="s">
        <v>88</v>
      </c>
      <c r="E145" s="418"/>
      <c r="F145" s="277">
        <f t="shared" ref="F145:G145" si="158">SUM(F141:F144)</f>
        <v>25000</v>
      </c>
      <c r="G145" s="296">
        <f t="shared" si="158"/>
        <v>9687</v>
      </c>
      <c r="H145" s="223">
        <f t="shared" ref="H145:N145" si="159">SUM(H141:H144)</f>
        <v>10000</v>
      </c>
      <c r="I145" s="223">
        <f t="shared" si="159"/>
        <v>10795</v>
      </c>
      <c r="J145" s="223">
        <f t="shared" si="159"/>
        <v>0</v>
      </c>
      <c r="K145" s="223">
        <f>I145+J145</f>
        <v>10795</v>
      </c>
      <c r="L145" s="531">
        <f t="shared" si="159"/>
        <v>10000</v>
      </c>
      <c r="M145" s="223">
        <f t="shared" si="159"/>
        <v>0</v>
      </c>
      <c r="N145" s="252">
        <f t="shared" si="159"/>
        <v>0</v>
      </c>
      <c r="O145" s="223">
        <f>M145+N145</f>
        <v>0</v>
      </c>
      <c r="P145" s="271">
        <f t="shared" ref="P145:Q145" si="160">SUM(P141:P144)</f>
        <v>10000</v>
      </c>
      <c r="Q145" s="271">
        <f t="shared" si="160"/>
        <v>10000</v>
      </c>
      <c r="R145" s="271">
        <f t="shared" ref="R145" si="161">SUM(R141:R144)</f>
        <v>10000</v>
      </c>
      <c r="S145" s="28"/>
    </row>
    <row r="146" spans="1:19" ht="9" hidden="1" customHeight="1" outlineLevel="1">
      <c r="B146" s="41"/>
      <c r="D146" s="66"/>
      <c r="E146" s="418"/>
      <c r="F146" s="278"/>
      <c r="G146" s="296"/>
      <c r="H146" s="215"/>
      <c r="I146" s="215"/>
      <c r="J146" s="215"/>
      <c r="K146" s="215"/>
      <c r="L146" s="411"/>
      <c r="M146" s="139"/>
      <c r="N146" s="139"/>
      <c r="O146" s="139"/>
      <c r="P146" s="270"/>
      <c r="Q146" s="270"/>
      <c r="R146" s="270"/>
      <c r="S146" s="28"/>
    </row>
    <row r="147" spans="1:19" ht="14.4" hidden="1" outlineLevel="1" collapsed="1">
      <c r="A147" s="33" t="s">
        <v>0</v>
      </c>
      <c r="B147" s="41"/>
      <c r="C147" s="127">
        <v>338800</v>
      </c>
      <c r="D147" s="66" t="s">
        <v>248</v>
      </c>
      <c r="E147" s="417"/>
      <c r="F147" s="278"/>
      <c r="G147" s="298"/>
      <c r="H147" s="215">
        <f>H155</f>
        <v>134000</v>
      </c>
      <c r="I147" s="215">
        <f t="shared" ref="I147:O147" si="162">I155</f>
        <v>87132</v>
      </c>
      <c r="J147" s="215">
        <f t="shared" si="162"/>
        <v>0</v>
      </c>
      <c r="K147" s="215">
        <f t="shared" si="162"/>
        <v>87132</v>
      </c>
      <c r="L147" s="411">
        <f>L155</f>
        <v>5400</v>
      </c>
      <c r="M147" s="215">
        <f t="shared" si="162"/>
        <v>0</v>
      </c>
      <c r="N147" s="139">
        <f t="shared" si="162"/>
        <v>0</v>
      </c>
      <c r="O147" s="215">
        <f t="shared" si="162"/>
        <v>0</v>
      </c>
      <c r="P147" s="270">
        <f>P155</f>
        <v>5400</v>
      </c>
      <c r="Q147" s="270">
        <f>Q155</f>
        <v>5400</v>
      </c>
      <c r="R147" s="270">
        <f>R155</f>
        <v>5400</v>
      </c>
      <c r="S147"/>
    </row>
    <row r="148" spans="1:19" hidden="1" outlineLevel="2">
      <c r="A148" s="33" t="s">
        <v>136</v>
      </c>
      <c r="B148" s="41"/>
      <c r="C148" s="127">
        <v>338801</v>
      </c>
      <c r="D148" s="67" t="s">
        <v>404</v>
      </c>
      <c r="E148" s="418"/>
      <c r="F148" s="278">
        <v>1200</v>
      </c>
      <c r="G148" s="298">
        <v>750</v>
      </c>
      <c r="H148" s="215">
        <v>1000</v>
      </c>
      <c r="I148" s="215">
        <v>376</v>
      </c>
      <c r="J148" s="170"/>
      <c r="K148" s="215">
        <f t="shared" ref="K148:K155" si="163">I148+J148</f>
        <v>376</v>
      </c>
      <c r="L148" s="411">
        <v>400</v>
      </c>
      <c r="M148" s="139"/>
      <c r="N148" s="139"/>
      <c r="O148" s="215">
        <f t="shared" ref="O148:O155" si="164">M148+N148</f>
        <v>0</v>
      </c>
      <c r="P148" s="270">
        <v>400</v>
      </c>
      <c r="Q148" s="270">
        <v>400</v>
      </c>
      <c r="R148" s="270">
        <v>400</v>
      </c>
      <c r="S148" s="85"/>
    </row>
    <row r="149" spans="1:19" ht="14.4" hidden="1" outlineLevel="2">
      <c r="A149" s="33" t="s">
        <v>136</v>
      </c>
      <c r="B149" s="41">
        <v>3011</v>
      </c>
      <c r="C149" s="127">
        <v>338811</v>
      </c>
      <c r="D149" s="67" t="s">
        <v>30</v>
      </c>
      <c r="E149" s="170" t="s">
        <v>522</v>
      </c>
      <c r="F149" s="278">
        <v>80000</v>
      </c>
      <c r="G149" s="299">
        <v>89904</v>
      </c>
      <c r="H149" s="215">
        <v>75000</v>
      </c>
      <c r="I149" s="215">
        <v>52593</v>
      </c>
      <c r="J149" s="215">
        <v>0</v>
      </c>
      <c r="K149" s="215">
        <f t="shared" si="163"/>
        <v>52593</v>
      </c>
      <c r="L149" s="411">
        <v>5000</v>
      </c>
      <c r="M149" s="139"/>
      <c r="N149" s="139"/>
      <c r="O149" s="215">
        <f t="shared" si="164"/>
        <v>0</v>
      </c>
      <c r="P149" s="270">
        <v>5000</v>
      </c>
      <c r="Q149" s="270">
        <v>5000</v>
      </c>
      <c r="R149" s="270">
        <v>5000</v>
      </c>
      <c r="S149"/>
    </row>
    <row r="150" spans="1:19" ht="14.4" hidden="1" outlineLevel="2">
      <c r="A150" s="33" t="s">
        <v>136</v>
      </c>
      <c r="B150" s="41">
        <v>3000</v>
      </c>
      <c r="C150" s="127">
        <v>338821</v>
      </c>
      <c r="D150" s="67" t="s">
        <v>48</v>
      </c>
      <c r="E150" s="418"/>
      <c r="F150" s="278">
        <v>40000</v>
      </c>
      <c r="G150" s="298">
        <v>60000</v>
      </c>
      <c r="H150" s="215">
        <v>20000</v>
      </c>
      <c r="I150" s="215">
        <v>0</v>
      </c>
      <c r="J150" s="215">
        <v>0</v>
      </c>
      <c r="K150" s="215">
        <f t="shared" si="163"/>
        <v>0</v>
      </c>
      <c r="L150" s="411"/>
      <c r="M150" s="139"/>
      <c r="N150" s="139"/>
      <c r="O150" s="215">
        <f t="shared" si="164"/>
        <v>0</v>
      </c>
      <c r="P150" s="270"/>
      <c r="Q150" s="270"/>
      <c r="R150" s="270"/>
      <c r="S150"/>
    </row>
    <row r="151" spans="1:19" ht="14.4" hidden="1" outlineLevel="2">
      <c r="A151" s="33" t="s">
        <v>136</v>
      </c>
      <c r="B151" s="41">
        <v>3001</v>
      </c>
      <c r="C151" s="127">
        <v>338822</v>
      </c>
      <c r="D151" s="67" t="s">
        <v>250</v>
      </c>
      <c r="E151" s="418"/>
      <c r="F151" s="278">
        <v>24000</v>
      </c>
      <c r="G151" s="298">
        <v>17047</v>
      </c>
      <c r="H151" s="215">
        <v>22000</v>
      </c>
      <c r="I151" s="215">
        <v>10500</v>
      </c>
      <c r="J151" s="215">
        <v>0</v>
      </c>
      <c r="K151" s="215">
        <f t="shared" si="163"/>
        <v>10500</v>
      </c>
      <c r="L151" s="411"/>
      <c r="M151" s="139"/>
      <c r="N151" s="139"/>
      <c r="O151" s="215">
        <f t="shared" si="164"/>
        <v>0</v>
      </c>
      <c r="P151" s="270"/>
      <c r="Q151" s="270"/>
      <c r="R151" s="270"/>
      <c r="S151"/>
    </row>
    <row r="152" spans="1:19" ht="14.4" hidden="1" outlineLevel="2">
      <c r="A152" s="33" t="s">
        <v>136</v>
      </c>
      <c r="B152" s="41">
        <v>3005</v>
      </c>
      <c r="C152" s="127">
        <v>338825</v>
      </c>
      <c r="D152" s="67" t="s">
        <v>49</v>
      </c>
      <c r="E152" s="418"/>
      <c r="F152" s="278">
        <v>10000</v>
      </c>
      <c r="G152" s="299">
        <v>6116</v>
      </c>
      <c r="H152" s="215">
        <v>10000</v>
      </c>
      <c r="I152" s="215">
        <v>13500</v>
      </c>
      <c r="J152" s="215"/>
      <c r="K152" s="215">
        <f t="shared" si="163"/>
        <v>13500</v>
      </c>
      <c r="L152" s="411"/>
      <c r="M152" s="139"/>
      <c r="N152" s="139"/>
      <c r="O152" s="215">
        <f t="shared" si="164"/>
        <v>0</v>
      </c>
      <c r="P152" s="270"/>
      <c r="Q152" s="270"/>
      <c r="R152" s="270"/>
      <c r="S152" s="28"/>
    </row>
    <row r="153" spans="1:19" ht="14.4" hidden="1" outlineLevel="2">
      <c r="A153" s="33" t="s">
        <v>136</v>
      </c>
      <c r="B153" s="46">
        <v>3027</v>
      </c>
      <c r="C153" s="127">
        <v>338827</v>
      </c>
      <c r="D153" s="67" t="s">
        <v>105</v>
      </c>
      <c r="E153" s="418"/>
      <c r="F153" s="278">
        <v>6000</v>
      </c>
      <c r="G153" s="299">
        <v>5654</v>
      </c>
      <c r="H153" s="215">
        <v>6000</v>
      </c>
      <c r="I153" s="215">
        <v>10163</v>
      </c>
      <c r="J153" s="170">
        <v>0</v>
      </c>
      <c r="K153" s="215">
        <f t="shared" si="163"/>
        <v>10163</v>
      </c>
      <c r="L153" s="411"/>
      <c r="M153" s="139"/>
      <c r="N153" s="139"/>
      <c r="O153" s="215">
        <f t="shared" si="164"/>
        <v>0</v>
      </c>
      <c r="P153" s="270"/>
      <c r="Q153" s="270"/>
      <c r="R153" s="270"/>
      <c r="S153"/>
    </row>
    <row r="154" spans="1:19" ht="14.4" hidden="1" outlineLevel="2">
      <c r="A154" s="33" t="s">
        <v>136</v>
      </c>
      <c r="B154" s="46">
        <v>3070</v>
      </c>
      <c r="C154" s="127">
        <v>338870</v>
      </c>
      <c r="D154" s="67" t="s">
        <v>33</v>
      </c>
      <c r="E154" s="420"/>
      <c r="F154" s="280">
        <v>10000</v>
      </c>
      <c r="G154" s="300">
        <v>0</v>
      </c>
      <c r="H154" s="217">
        <v>0</v>
      </c>
      <c r="I154" s="217">
        <v>0</v>
      </c>
      <c r="J154" s="217">
        <v>0</v>
      </c>
      <c r="K154" s="217">
        <f t="shared" si="163"/>
        <v>0</v>
      </c>
      <c r="L154" s="532">
        <v>0</v>
      </c>
      <c r="M154" s="217"/>
      <c r="N154" s="217"/>
      <c r="O154" s="217">
        <f t="shared" si="164"/>
        <v>0</v>
      </c>
      <c r="P154" s="365">
        <v>0</v>
      </c>
      <c r="Q154" s="365">
        <v>0</v>
      </c>
      <c r="R154" s="365">
        <v>0</v>
      </c>
      <c r="S154"/>
    </row>
    <row r="155" spans="1:19" ht="14.4" hidden="1" outlineLevel="2">
      <c r="A155" s="33" t="s">
        <v>2</v>
      </c>
      <c r="B155" s="41"/>
      <c r="C155" s="132">
        <v>338899</v>
      </c>
      <c r="D155" s="66" t="s">
        <v>251</v>
      </c>
      <c r="E155" s="418"/>
      <c r="F155" s="277">
        <f t="shared" ref="F155:G155" si="165">SUM(F148:F154)</f>
        <v>171200</v>
      </c>
      <c r="G155" s="296">
        <f t="shared" si="165"/>
        <v>179471</v>
      </c>
      <c r="H155" s="223">
        <f t="shared" ref="H155:J155" si="166">SUM(H148:H154)</f>
        <v>134000</v>
      </c>
      <c r="I155" s="223">
        <f t="shared" si="166"/>
        <v>87132</v>
      </c>
      <c r="J155" s="223">
        <f t="shared" si="166"/>
        <v>0</v>
      </c>
      <c r="K155" s="223">
        <f t="shared" si="163"/>
        <v>87132</v>
      </c>
      <c r="L155" s="531">
        <f t="shared" ref="L155:P155" si="167">SUM(L148:L154)</f>
        <v>5400</v>
      </c>
      <c r="M155" s="223">
        <f t="shared" si="167"/>
        <v>0</v>
      </c>
      <c r="N155" s="252">
        <f t="shared" si="167"/>
        <v>0</v>
      </c>
      <c r="O155" s="223">
        <f t="shared" si="164"/>
        <v>0</v>
      </c>
      <c r="P155" s="271">
        <f t="shared" si="167"/>
        <v>5400</v>
      </c>
      <c r="Q155" s="271">
        <f t="shared" ref="Q155:R155" si="168">SUM(Q148:Q154)</f>
        <v>5400</v>
      </c>
      <c r="R155" s="271">
        <f t="shared" si="168"/>
        <v>5400</v>
      </c>
      <c r="S155" s="32"/>
    </row>
    <row r="156" spans="1:19" ht="9" hidden="1" customHeight="1" outlineLevel="1">
      <c r="B156" s="41"/>
      <c r="D156" s="67"/>
      <c r="E156" s="418"/>
      <c r="F156" s="278"/>
      <c r="G156" s="298"/>
      <c r="H156" s="215"/>
      <c r="I156" s="215"/>
      <c r="J156" s="215"/>
      <c r="K156" s="215"/>
      <c r="L156" s="411"/>
      <c r="M156" s="139"/>
      <c r="N156" s="139"/>
      <c r="O156" s="139"/>
      <c r="P156" s="270"/>
      <c r="Q156" s="270"/>
      <c r="R156" s="270"/>
      <c r="S156" s="18"/>
    </row>
    <row r="157" spans="1:19" ht="14.4" hidden="1" outlineLevel="1">
      <c r="A157" s="33" t="s">
        <v>2</v>
      </c>
      <c r="B157" s="41"/>
      <c r="C157" s="132">
        <v>399999</v>
      </c>
      <c r="D157" s="66" t="s">
        <v>66</v>
      </c>
      <c r="E157" s="417"/>
      <c r="F157" s="277">
        <f t="shared" ref="F157:G157" si="169">F131+F138+F145+F155</f>
        <v>561900</v>
      </c>
      <c r="G157" s="296">
        <f t="shared" si="169"/>
        <v>557448</v>
      </c>
      <c r="H157" s="223">
        <f t="shared" ref="H157:L157" si="170">H131+H138+H145+H155</f>
        <v>523000</v>
      </c>
      <c r="I157" s="223">
        <f t="shared" si="170"/>
        <v>454963</v>
      </c>
      <c r="J157" s="223">
        <f t="shared" si="170"/>
        <v>0</v>
      </c>
      <c r="K157" s="223">
        <f>I157+J157</f>
        <v>454963</v>
      </c>
      <c r="L157" s="531">
        <f t="shared" si="170"/>
        <v>21400</v>
      </c>
      <c r="M157" s="252"/>
      <c r="N157" s="252"/>
      <c r="O157" s="252"/>
      <c r="P157" s="271">
        <f t="shared" ref="P157:Q157" si="171">P131+P138+P145+P155</f>
        <v>21400</v>
      </c>
      <c r="Q157" s="271">
        <f t="shared" si="171"/>
        <v>21400</v>
      </c>
      <c r="R157" s="271">
        <f t="shared" ref="R157" si="172">R131+R138+R145+R155</f>
        <v>21400</v>
      </c>
      <c r="S157"/>
    </row>
    <row r="158" spans="1:19" ht="12.75" customHeight="1" collapsed="1">
      <c r="A158" s="33" t="s">
        <v>0</v>
      </c>
      <c r="B158" s="41"/>
      <c r="C158" s="130">
        <v>340000</v>
      </c>
      <c r="D158" s="63" t="s">
        <v>9</v>
      </c>
      <c r="E158" s="311"/>
      <c r="F158" s="278">
        <f t="shared" ref="F158" si="173">F183</f>
        <v>706000</v>
      </c>
      <c r="G158" s="298">
        <f t="shared" ref="G158" si="174">G183</f>
        <v>613399</v>
      </c>
      <c r="H158" s="215">
        <f t="shared" ref="H158:O158" si="175">H183</f>
        <v>633500</v>
      </c>
      <c r="I158" s="215">
        <f t="shared" si="175"/>
        <v>596466</v>
      </c>
      <c r="J158" s="215">
        <f t="shared" si="175"/>
        <v>0</v>
      </c>
      <c r="K158" s="215">
        <f t="shared" si="175"/>
        <v>596466</v>
      </c>
      <c r="L158" s="411">
        <f t="shared" si="175"/>
        <v>218200</v>
      </c>
      <c r="M158" s="215">
        <f t="shared" si="175"/>
        <v>0</v>
      </c>
      <c r="N158" s="139">
        <f t="shared" si="175"/>
        <v>0</v>
      </c>
      <c r="O158" s="215">
        <f t="shared" si="175"/>
        <v>0</v>
      </c>
      <c r="P158" s="270">
        <f t="shared" ref="P158:Q158" si="176">P183</f>
        <v>197500</v>
      </c>
      <c r="Q158" s="270">
        <f t="shared" si="176"/>
        <v>197500</v>
      </c>
      <c r="R158" s="270">
        <f t="shared" ref="R158" si="177">R183</f>
        <v>197500</v>
      </c>
      <c r="S158" s="33"/>
    </row>
    <row r="159" spans="1:19" hidden="1" outlineLevel="1" collapsed="1">
      <c r="A159" s="33" t="s">
        <v>0</v>
      </c>
      <c r="B159" s="41"/>
      <c r="C159" s="132">
        <v>340100</v>
      </c>
      <c r="D159" s="66" t="s">
        <v>259</v>
      </c>
      <c r="E159" s="417"/>
      <c r="F159" s="278"/>
      <c r="G159" s="298"/>
      <c r="H159" s="215">
        <f>H164</f>
        <v>7000</v>
      </c>
      <c r="I159" s="215">
        <f t="shared" ref="I159:O159" si="178">I164</f>
        <v>6106</v>
      </c>
      <c r="J159" s="215">
        <f t="shared" si="178"/>
        <v>0</v>
      </c>
      <c r="K159" s="215">
        <f t="shared" si="178"/>
        <v>6106</v>
      </c>
      <c r="L159" s="528">
        <f>L164</f>
        <v>6000</v>
      </c>
      <c r="M159" s="215">
        <f t="shared" si="178"/>
        <v>0</v>
      </c>
      <c r="N159" s="139">
        <f t="shared" si="178"/>
        <v>0</v>
      </c>
      <c r="O159" s="215">
        <f t="shared" si="178"/>
        <v>0</v>
      </c>
      <c r="P159" s="269">
        <f>P164</f>
        <v>6000</v>
      </c>
      <c r="Q159" s="269">
        <f>Q164</f>
        <v>6000</v>
      </c>
      <c r="R159" s="269">
        <f>R164</f>
        <v>6000</v>
      </c>
      <c r="S159" s="33"/>
    </row>
    <row r="160" spans="1:19" hidden="1" outlineLevel="2">
      <c r="A160" s="55" t="s">
        <v>136</v>
      </c>
      <c r="B160" s="41">
        <v>5093</v>
      </c>
      <c r="C160" s="127">
        <v>340101</v>
      </c>
      <c r="D160" s="67" t="s">
        <v>31</v>
      </c>
      <c r="E160" s="418"/>
      <c r="F160" s="278">
        <v>500</v>
      </c>
      <c r="G160" s="298">
        <v>0</v>
      </c>
      <c r="H160" s="215">
        <v>500</v>
      </c>
      <c r="I160" s="215">
        <v>0</v>
      </c>
      <c r="J160" s="215">
        <v>0</v>
      </c>
      <c r="K160" s="215">
        <f t="shared" ref="K160:K165" si="179">I160+J160</f>
        <v>0</v>
      </c>
      <c r="L160" s="528">
        <v>0</v>
      </c>
      <c r="M160" s="187"/>
      <c r="N160" s="187"/>
      <c r="O160" s="215">
        <f t="shared" ref="O160:O164" si="180">M160+N160</f>
        <v>0</v>
      </c>
      <c r="P160" s="269">
        <v>0</v>
      </c>
      <c r="Q160" s="269">
        <v>0</v>
      </c>
      <c r="R160" s="269">
        <v>0</v>
      </c>
      <c r="S160" s="33"/>
    </row>
    <row r="161" spans="1:19" hidden="1" outlineLevel="2">
      <c r="A161" s="55" t="s">
        <v>136</v>
      </c>
      <c r="B161" s="41">
        <v>5071</v>
      </c>
      <c r="C161" s="127">
        <v>340102</v>
      </c>
      <c r="D161" s="67" t="s">
        <v>29</v>
      </c>
      <c r="E161" s="418"/>
      <c r="F161" s="278">
        <v>4000</v>
      </c>
      <c r="G161" s="299">
        <v>5067</v>
      </c>
      <c r="H161" s="215">
        <v>5000</v>
      </c>
      <c r="I161" s="215">
        <v>5881</v>
      </c>
      <c r="J161" s="215"/>
      <c r="K161" s="215">
        <f t="shared" si="179"/>
        <v>5881</v>
      </c>
      <c r="L161" s="528">
        <v>5000</v>
      </c>
      <c r="M161" s="187"/>
      <c r="N161" s="187"/>
      <c r="O161" s="215">
        <f t="shared" si="180"/>
        <v>0</v>
      </c>
      <c r="P161" s="269">
        <v>5000</v>
      </c>
      <c r="Q161" s="269">
        <v>5000</v>
      </c>
      <c r="R161" s="269">
        <v>5000</v>
      </c>
      <c r="S161" s="33"/>
    </row>
    <row r="162" spans="1:19" hidden="1" outlineLevel="2">
      <c r="A162" s="55" t="s">
        <v>136</v>
      </c>
      <c r="B162" s="41">
        <v>5092</v>
      </c>
      <c r="C162" s="127">
        <v>340103</v>
      </c>
      <c r="D162" s="67" t="s">
        <v>32</v>
      </c>
      <c r="E162" s="418"/>
      <c r="F162" s="278">
        <v>3500</v>
      </c>
      <c r="G162" s="299">
        <v>484</v>
      </c>
      <c r="H162" s="215">
        <v>1500</v>
      </c>
      <c r="I162" s="215">
        <v>225</v>
      </c>
      <c r="J162" s="215">
        <v>0</v>
      </c>
      <c r="K162" s="215">
        <f t="shared" si="179"/>
        <v>225</v>
      </c>
      <c r="L162" s="528">
        <v>1000</v>
      </c>
      <c r="M162" s="187"/>
      <c r="N162" s="187"/>
      <c r="O162" s="215">
        <f t="shared" si="180"/>
        <v>0</v>
      </c>
      <c r="P162" s="269">
        <v>1000</v>
      </c>
      <c r="Q162" s="269">
        <v>1000</v>
      </c>
      <c r="R162" s="269">
        <v>1000</v>
      </c>
      <c r="S162" s="33"/>
    </row>
    <row r="163" spans="1:19" hidden="1" outlineLevel="2">
      <c r="A163" s="55" t="s">
        <v>136</v>
      </c>
      <c r="B163" s="41"/>
      <c r="C163" s="127">
        <v>340109</v>
      </c>
      <c r="D163" s="67" t="s">
        <v>252</v>
      </c>
      <c r="E163" s="418"/>
      <c r="F163" s="280">
        <v>0</v>
      </c>
      <c r="G163" s="300">
        <v>0</v>
      </c>
      <c r="H163" s="217">
        <v>0</v>
      </c>
      <c r="I163" s="217">
        <v>0</v>
      </c>
      <c r="J163" s="217">
        <v>0</v>
      </c>
      <c r="K163" s="217">
        <f t="shared" si="179"/>
        <v>0</v>
      </c>
      <c r="L163" s="532">
        <v>0</v>
      </c>
      <c r="M163" s="217"/>
      <c r="N163" s="217"/>
      <c r="O163" s="217">
        <f t="shared" si="180"/>
        <v>0</v>
      </c>
      <c r="P163" s="365">
        <v>0</v>
      </c>
      <c r="Q163" s="365">
        <v>0</v>
      </c>
      <c r="R163" s="365">
        <v>0</v>
      </c>
      <c r="S163" s="33"/>
    </row>
    <row r="164" spans="1:19" hidden="1" outlineLevel="2">
      <c r="A164" s="33" t="s">
        <v>2</v>
      </c>
      <c r="B164" s="44">
        <v>5079</v>
      </c>
      <c r="C164" s="132">
        <v>340199</v>
      </c>
      <c r="D164" s="66" t="s">
        <v>65</v>
      </c>
      <c r="E164" s="418"/>
      <c r="F164" s="277">
        <f>SUM(F160:F162)</f>
        <v>8000</v>
      </c>
      <c r="G164" s="296">
        <f>SUM(G160:G163)</f>
        <v>5551</v>
      </c>
      <c r="H164" s="223">
        <f>SUM(H160:H162)</f>
        <v>7000</v>
      </c>
      <c r="I164" s="223">
        <f>SUM(I160:I163)</f>
        <v>6106</v>
      </c>
      <c r="J164" s="223">
        <f>SUM(J160:J163)</f>
        <v>0</v>
      </c>
      <c r="K164" s="215">
        <f t="shared" si="179"/>
        <v>6106</v>
      </c>
      <c r="L164" s="531">
        <f>SUM(L160:L162)</f>
        <v>6000</v>
      </c>
      <c r="M164" s="223">
        <f>SUM(M160:M163)</f>
        <v>0</v>
      </c>
      <c r="N164" s="252">
        <f>SUM(N160:N163)</f>
        <v>0</v>
      </c>
      <c r="O164" s="215">
        <f t="shared" si="180"/>
        <v>0</v>
      </c>
      <c r="P164" s="271">
        <f>SUM(P160:P162)</f>
        <v>6000</v>
      </c>
      <c r="Q164" s="271">
        <f>SUM(Q160:Q162)</f>
        <v>6000</v>
      </c>
      <c r="R164" s="271">
        <f>SUM(R160:R162)</f>
        <v>6000</v>
      </c>
      <c r="S164" s="33"/>
    </row>
    <row r="165" spans="1:19" ht="9" hidden="1" customHeight="1" outlineLevel="1">
      <c r="B165" s="41"/>
      <c r="D165" s="66"/>
      <c r="E165" s="418"/>
      <c r="F165" s="278"/>
      <c r="G165" s="298"/>
      <c r="H165" s="215"/>
      <c r="I165" s="215"/>
      <c r="J165" s="215"/>
      <c r="K165" s="215">
        <f t="shared" si="179"/>
        <v>0</v>
      </c>
      <c r="L165" s="528"/>
      <c r="M165" s="187"/>
      <c r="N165" s="187"/>
      <c r="O165" s="187"/>
      <c r="P165" s="269"/>
      <c r="Q165" s="269"/>
      <c r="R165" s="269"/>
      <c r="S165" s="33"/>
    </row>
    <row r="166" spans="1:19" hidden="1" outlineLevel="1" collapsed="1">
      <c r="A166" s="33" t="s">
        <v>0</v>
      </c>
      <c r="B166" s="41"/>
      <c r="C166" s="132">
        <v>340200</v>
      </c>
      <c r="D166" s="66" t="s">
        <v>73</v>
      </c>
      <c r="E166" s="417"/>
      <c r="F166" s="278"/>
      <c r="G166" s="298"/>
      <c r="H166" s="215">
        <f>H181</f>
        <v>626500</v>
      </c>
      <c r="I166" s="215">
        <f t="shared" ref="I166:O166" si="181">I181</f>
        <v>590360</v>
      </c>
      <c r="J166" s="215">
        <f t="shared" si="181"/>
        <v>0</v>
      </c>
      <c r="K166" s="215">
        <f t="shared" si="181"/>
        <v>590360</v>
      </c>
      <c r="L166" s="528">
        <f>L181</f>
        <v>212200</v>
      </c>
      <c r="M166" s="215">
        <f t="shared" si="181"/>
        <v>0</v>
      </c>
      <c r="N166" s="139">
        <f t="shared" si="181"/>
        <v>0</v>
      </c>
      <c r="O166" s="215">
        <f t="shared" si="181"/>
        <v>0</v>
      </c>
      <c r="P166" s="269">
        <f>P181</f>
        <v>191500</v>
      </c>
      <c r="Q166" s="269">
        <f>Q181</f>
        <v>191500</v>
      </c>
      <c r="R166" s="269">
        <f>R181</f>
        <v>191500</v>
      </c>
      <c r="S166" s="33"/>
    </row>
    <row r="167" spans="1:19" hidden="1" outlineLevel="2">
      <c r="A167" s="55" t="s">
        <v>136</v>
      </c>
      <c r="B167" s="41">
        <v>5082</v>
      </c>
      <c r="C167" s="127">
        <v>340201</v>
      </c>
      <c r="D167" s="67" t="s">
        <v>370</v>
      </c>
      <c r="E167" s="417"/>
      <c r="F167" s="278">
        <v>191000</v>
      </c>
      <c r="G167" s="299">
        <v>165332</v>
      </c>
      <c r="H167" s="215">
        <v>203000</v>
      </c>
      <c r="I167" s="170">
        <v>183000</v>
      </c>
      <c r="J167" s="215">
        <v>0</v>
      </c>
      <c r="K167" s="215">
        <f t="shared" ref="K167:K181" si="182">I167+J167</f>
        <v>183000</v>
      </c>
      <c r="L167" s="528">
        <v>0</v>
      </c>
      <c r="M167" s="187"/>
      <c r="N167" s="187"/>
      <c r="O167" s="215">
        <f t="shared" ref="O167:O181" si="183">M167+N167</f>
        <v>0</v>
      </c>
      <c r="P167" s="269">
        <v>0</v>
      </c>
      <c r="Q167" s="269">
        <v>0</v>
      </c>
      <c r="R167" s="269">
        <v>0</v>
      </c>
    </row>
    <row r="168" spans="1:19" hidden="1" outlineLevel="2">
      <c r="A168" s="55" t="s">
        <v>136</v>
      </c>
      <c r="B168" s="41">
        <v>5080</v>
      </c>
      <c r="C168" s="127">
        <v>340205</v>
      </c>
      <c r="D168" s="67" t="s">
        <v>36</v>
      </c>
      <c r="E168" s="417"/>
      <c r="F168" s="279">
        <v>10000</v>
      </c>
      <c r="G168" s="298">
        <v>13677</v>
      </c>
      <c r="H168" s="170">
        <v>22500</v>
      </c>
      <c r="I168" s="145">
        <v>22318</v>
      </c>
      <c r="J168" s="145">
        <v>0</v>
      </c>
      <c r="K168" s="215">
        <f t="shared" si="182"/>
        <v>22318</v>
      </c>
      <c r="L168" s="528">
        <v>5000</v>
      </c>
      <c r="M168" s="187"/>
      <c r="N168" s="187"/>
      <c r="O168" s="215">
        <f t="shared" si="183"/>
        <v>0</v>
      </c>
      <c r="P168" s="269">
        <v>5000</v>
      </c>
      <c r="Q168" s="269">
        <v>5000</v>
      </c>
      <c r="R168" s="269">
        <v>5000</v>
      </c>
    </row>
    <row r="169" spans="1:19" hidden="1" outlineLevel="2">
      <c r="A169" s="55" t="s">
        <v>136</v>
      </c>
      <c r="B169" s="41">
        <v>5083</v>
      </c>
      <c r="C169" s="127">
        <v>340207</v>
      </c>
      <c r="D169" s="67" t="s">
        <v>75</v>
      </c>
      <c r="E169" s="417"/>
      <c r="F169" s="278">
        <v>0</v>
      </c>
      <c r="G169" s="298">
        <v>6303</v>
      </c>
      <c r="H169" s="215">
        <v>2000</v>
      </c>
      <c r="I169" s="145">
        <v>8369</v>
      </c>
      <c r="J169" s="145">
        <v>0</v>
      </c>
      <c r="K169" s="215">
        <f t="shared" si="182"/>
        <v>8369</v>
      </c>
      <c r="L169" s="533">
        <v>0</v>
      </c>
      <c r="M169" s="145"/>
      <c r="N169" s="145"/>
      <c r="O169" s="215">
        <f t="shared" si="183"/>
        <v>0</v>
      </c>
      <c r="P169" s="363"/>
      <c r="Q169" s="363"/>
      <c r="R169" s="363"/>
    </row>
    <row r="170" spans="1:19" hidden="1" outlineLevel="2">
      <c r="A170" s="55" t="s">
        <v>136</v>
      </c>
      <c r="B170" s="41">
        <v>5085</v>
      </c>
      <c r="C170" s="127">
        <v>340208</v>
      </c>
      <c r="D170" s="67" t="s">
        <v>76</v>
      </c>
      <c r="E170" s="417"/>
      <c r="F170" s="278">
        <v>2000</v>
      </c>
      <c r="G170" s="298">
        <v>1200</v>
      </c>
      <c r="H170" s="215">
        <v>0</v>
      </c>
      <c r="I170" s="145">
        <v>5000</v>
      </c>
      <c r="J170" s="145"/>
      <c r="K170" s="215">
        <f t="shared" si="182"/>
        <v>5000</v>
      </c>
      <c r="L170" s="533">
        <v>0</v>
      </c>
      <c r="M170" s="145"/>
      <c r="N170" s="145"/>
      <c r="O170" s="215">
        <f t="shared" si="183"/>
        <v>0</v>
      </c>
      <c r="P170" s="363"/>
      <c r="Q170" s="363"/>
      <c r="R170" s="363"/>
    </row>
    <row r="171" spans="1:19" hidden="1" outlineLevel="2">
      <c r="A171" s="55"/>
      <c r="B171" s="46"/>
      <c r="C171" s="127">
        <v>340209</v>
      </c>
      <c r="D171" s="67" t="s">
        <v>303</v>
      </c>
      <c r="E171" s="417"/>
      <c r="F171" s="278">
        <v>0</v>
      </c>
      <c r="G171" s="298">
        <v>3600</v>
      </c>
      <c r="H171" s="215">
        <v>0</v>
      </c>
      <c r="I171" s="145">
        <v>0</v>
      </c>
      <c r="J171" s="145"/>
      <c r="K171" s="215">
        <f t="shared" si="182"/>
        <v>0</v>
      </c>
      <c r="L171" s="533">
        <v>0</v>
      </c>
      <c r="M171" s="145"/>
      <c r="N171" s="145"/>
      <c r="O171" s="215">
        <f t="shared" si="183"/>
        <v>0</v>
      </c>
      <c r="P171" s="363"/>
      <c r="Q171" s="363"/>
      <c r="R171" s="363"/>
    </row>
    <row r="172" spans="1:19" ht="15" hidden="1" customHeight="1" outlineLevel="2">
      <c r="A172" s="55" t="s">
        <v>136</v>
      </c>
      <c r="B172" s="46">
        <v>5060</v>
      </c>
      <c r="C172" s="127">
        <v>340212</v>
      </c>
      <c r="D172" s="67" t="s">
        <v>304</v>
      </c>
      <c r="E172" s="417"/>
      <c r="F172" s="278">
        <v>0</v>
      </c>
      <c r="G172" s="298">
        <v>36784</v>
      </c>
      <c r="H172" s="215">
        <v>30000</v>
      </c>
      <c r="I172" s="139">
        <v>10614</v>
      </c>
      <c r="J172" s="139"/>
      <c r="K172" s="215">
        <f t="shared" si="182"/>
        <v>10614</v>
      </c>
      <c r="L172" s="533">
        <v>0</v>
      </c>
      <c r="M172" s="293"/>
      <c r="N172" s="293"/>
      <c r="O172" s="215">
        <f t="shared" si="183"/>
        <v>0</v>
      </c>
      <c r="P172" s="364"/>
      <c r="Q172" s="364"/>
      <c r="R172" s="364"/>
    </row>
    <row r="173" spans="1:19" hidden="1" outlineLevel="2">
      <c r="A173" s="55" t="s">
        <v>136</v>
      </c>
      <c r="B173" s="41">
        <v>5020</v>
      </c>
      <c r="C173" s="127">
        <v>340214</v>
      </c>
      <c r="D173" s="67" t="s">
        <v>101</v>
      </c>
      <c r="E173" s="417" t="s">
        <v>568</v>
      </c>
      <c r="F173" s="278">
        <v>35000</v>
      </c>
      <c r="G173" s="298">
        <v>51242</v>
      </c>
      <c r="H173" s="215">
        <v>46000</v>
      </c>
      <c r="I173" s="145">
        <v>33587</v>
      </c>
      <c r="J173" s="145"/>
      <c r="K173" s="215">
        <f t="shared" si="182"/>
        <v>33587</v>
      </c>
      <c r="L173" s="533">
        <f>29000+7500</f>
        <v>36500</v>
      </c>
      <c r="M173" s="145"/>
      <c r="N173" s="145"/>
      <c r="O173" s="215">
        <f t="shared" si="183"/>
        <v>0</v>
      </c>
      <c r="P173" s="533">
        <f>29000+7500</f>
        <v>36500</v>
      </c>
      <c r="Q173" s="533">
        <f>29000+7500</f>
        <v>36500</v>
      </c>
      <c r="R173" s="363">
        <f>29000+7500</f>
        <v>36500</v>
      </c>
      <c r="S173" s="553"/>
    </row>
    <row r="174" spans="1:19" hidden="1" outlineLevel="2">
      <c r="A174" s="55" t="s">
        <v>136</v>
      </c>
      <c r="B174" s="41">
        <v>5030</v>
      </c>
      <c r="C174" s="127">
        <v>340215</v>
      </c>
      <c r="D174" s="67" t="s">
        <v>176</v>
      </c>
      <c r="E174" s="417"/>
      <c r="F174" s="279">
        <v>12000</v>
      </c>
      <c r="G174" s="298">
        <v>3000</v>
      </c>
      <c r="H174" s="170">
        <v>0</v>
      </c>
      <c r="I174" s="145"/>
      <c r="J174" s="293"/>
      <c r="K174" s="215">
        <f t="shared" si="182"/>
        <v>0</v>
      </c>
      <c r="L174" s="533">
        <v>0</v>
      </c>
      <c r="M174" s="145"/>
      <c r="N174" s="145"/>
      <c r="O174" s="215">
        <f t="shared" si="183"/>
        <v>0</v>
      </c>
      <c r="P174" s="363"/>
      <c r="Q174" s="363"/>
      <c r="R174" s="363"/>
    </row>
    <row r="175" spans="1:19" hidden="1" outlineLevel="2">
      <c r="A175" s="55" t="s">
        <v>136</v>
      </c>
      <c r="B175" s="46">
        <v>5065</v>
      </c>
      <c r="C175" s="127">
        <v>340216</v>
      </c>
      <c r="D175" s="67" t="s">
        <v>256</v>
      </c>
      <c r="E175" s="417"/>
      <c r="F175" s="278">
        <v>7000</v>
      </c>
      <c r="G175" s="298">
        <v>18000</v>
      </c>
      <c r="H175" s="215">
        <v>18000</v>
      </c>
      <c r="I175" s="145">
        <v>9450</v>
      </c>
      <c r="J175" s="293"/>
      <c r="K175" s="215">
        <f t="shared" si="182"/>
        <v>9450</v>
      </c>
      <c r="L175" s="533">
        <v>0</v>
      </c>
      <c r="M175" s="145"/>
      <c r="N175" s="145"/>
      <c r="O175" s="215">
        <f t="shared" si="183"/>
        <v>0</v>
      </c>
      <c r="P175" s="363">
        <v>0</v>
      </c>
      <c r="Q175" s="363">
        <v>0</v>
      </c>
      <c r="R175" s="363">
        <v>0</v>
      </c>
    </row>
    <row r="176" spans="1:19" hidden="1" outlineLevel="2">
      <c r="A176" s="55" t="s">
        <v>136</v>
      </c>
      <c r="B176" s="44">
        <v>5067</v>
      </c>
      <c r="C176" s="127">
        <v>340218</v>
      </c>
      <c r="D176" s="67" t="s">
        <v>102</v>
      </c>
      <c r="E176" s="417"/>
      <c r="F176" s="278">
        <v>1000</v>
      </c>
      <c r="G176" s="298">
        <v>4266</v>
      </c>
      <c r="H176" s="215">
        <v>3000</v>
      </c>
      <c r="I176" s="145"/>
      <c r="J176" s="293"/>
      <c r="K176" s="215">
        <f t="shared" si="182"/>
        <v>0</v>
      </c>
      <c r="L176" s="533">
        <v>0</v>
      </c>
      <c r="M176" s="145"/>
      <c r="N176" s="145"/>
      <c r="O176" s="215">
        <f t="shared" si="183"/>
        <v>0</v>
      </c>
      <c r="P176" s="363"/>
      <c r="Q176" s="363"/>
      <c r="R176" s="363"/>
    </row>
    <row r="177" spans="1:21" hidden="1" outlineLevel="2">
      <c r="A177" s="55" t="s">
        <v>136</v>
      </c>
      <c r="B177" s="41">
        <v>5062</v>
      </c>
      <c r="C177" s="127">
        <v>340221</v>
      </c>
      <c r="D177" s="67" t="s">
        <v>503</v>
      </c>
      <c r="E177" s="417"/>
      <c r="F177" s="278">
        <v>280000</v>
      </c>
      <c r="G177" s="298">
        <v>142919</v>
      </c>
      <c r="H177" s="215">
        <v>140000</v>
      </c>
      <c r="I177" s="145">
        <v>146093</v>
      </c>
      <c r="J177" s="293"/>
      <c r="K177" s="215">
        <f t="shared" si="182"/>
        <v>146093</v>
      </c>
      <c r="L177" s="533">
        <v>120700</v>
      </c>
      <c r="M177" s="145"/>
      <c r="N177" s="145"/>
      <c r="O177" s="215">
        <f t="shared" si="183"/>
        <v>0</v>
      </c>
      <c r="P177" s="363">
        <v>150000</v>
      </c>
      <c r="Q177" s="363">
        <v>150000</v>
      </c>
      <c r="R177" s="363">
        <v>150000</v>
      </c>
    </row>
    <row r="178" spans="1:21" hidden="1" outlineLevel="2">
      <c r="A178" s="55" t="s">
        <v>136</v>
      </c>
      <c r="B178" s="41">
        <v>5061</v>
      </c>
      <c r="C178" s="127">
        <v>340222</v>
      </c>
      <c r="D178" s="67" t="s">
        <v>310</v>
      </c>
      <c r="E178" s="417" t="s">
        <v>562</v>
      </c>
      <c r="F178" s="278">
        <v>40000</v>
      </c>
      <c r="G178" s="298">
        <v>63993</v>
      </c>
      <c r="H178" s="215">
        <v>40000</v>
      </c>
      <c r="I178" s="145">
        <v>46136</v>
      </c>
      <c r="J178" s="145"/>
      <c r="K178" s="215">
        <f t="shared" si="182"/>
        <v>46136</v>
      </c>
      <c r="L178" s="533">
        <v>0</v>
      </c>
      <c r="M178" s="145"/>
      <c r="N178" s="145"/>
      <c r="O178" s="215">
        <f t="shared" si="183"/>
        <v>0</v>
      </c>
      <c r="P178" s="363"/>
      <c r="Q178" s="363"/>
      <c r="R178" s="363"/>
    </row>
    <row r="179" spans="1:21" hidden="1" outlineLevel="2">
      <c r="A179" s="55" t="s">
        <v>136</v>
      </c>
      <c r="B179" s="41">
        <v>5063</v>
      </c>
      <c r="C179" s="127">
        <v>340223</v>
      </c>
      <c r="D179" s="67" t="s">
        <v>254</v>
      </c>
      <c r="E179" s="417" t="s">
        <v>562</v>
      </c>
      <c r="F179" s="278">
        <v>20000</v>
      </c>
      <c r="G179" s="298">
        <v>19032</v>
      </c>
      <c r="H179" s="215">
        <v>22000</v>
      </c>
      <c r="I179" s="215">
        <v>18043</v>
      </c>
      <c r="J179" s="145"/>
      <c r="K179" s="215">
        <f t="shared" si="182"/>
        <v>18043</v>
      </c>
      <c r="L179" s="528">
        <v>0</v>
      </c>
      <c r="M179" s="187"/>
      <c r="N179" s="187"/>
      <c r="O179" s="215">
        <f t="shared" si="183"/>
        <v>0</v>
      </c>
      <c r="P179" s="269"/>
      <c r="Q179" s="269"/>
      <c r="R179" s="269"/>
    </row>
    <row r="180" spans="1:21" hidden="1" outlineLevel="2">
      <c r="A180" s="55"/>
      <c r="B180" s="41"/>
      <c r="C180" s="127">
        <v>340255</v>
      </c>
      <c r="D180" s="67" t="s">
        <v>258</v>
      </c>
      <c r="E180" s="417"/>
      <c r="F180" s="280">
        <v>100000</v>
      </c>
      <c r="G180" s="300">
        <v>78500</v>
      </c>
      <c r="H180" s="217">
        <v>100000</v>
      </c>
      <c r="I180" s="217">
        <v>107750</v>
      </c>
      <c r="J180" s="447"/>
      <c r="K180" s="259">
        <f t="shared" si="182"/>
        <v>107750</v>
      </c>
      <c r="L180" s="532">
        <v>50000</v>
      </c>
      <c r="M180" s="217"/>
      <c r="N180" s="217"/>
      <c r="O180" s="259">
        <f t="shared" si="183"/>
        <v>0</v>
      </c>
      <c r="P180" s="365">
        <v>0</v>
      </c>
      <c r="Q180" s="365">
        <v>0</v>
      </c>
      <c r="R180" s="365">
        <v>0</v>
      </c>
      <c r="S180" s="158" t="s">
        <v>448</v>
      </c>
    </row>
    <row r="181" spans="1:21" hidden="1" outlineLevel="2">
      <c r="A181" s="33" t="s">
        <v>2</v>
      </c>
      <c r="B181" s="44">
        <v>5089</v>
      </c>
      <c r="C181" s="132">
        <v>340299</v>
      </c>
      <c r="D181" s="66" t="s">
        <v>77</v>
      </c>
      <c r="E181" s="418"/>
      <c r="F181" s="277">
        <f>SUM(F167:F180)</f>
        <v>698000</v>
      </c>
      <c r="G181" s="296">
        <f>SUM(G167:G180)</f>
        <v>607848</v>
      </c>
      <c r="H181" s="223">
        <f>SUM(H167:H180)</f>
        <v>626500</v>
      </c>
      <c r="I181" s="223">
        <f t="shared" ref="I181:J181" si="184">SUM(I167:I180)</f>
        <v>590360</v>
      </c>
      <c r="J181" s="223">
        <f t="shared" si="184"/>
        <v>0</v>
      </c>
      <c r="K181" s="215">
        <f t="shared" si="182"/>
        <v>590360</v>
      </c>
      <c r="L181" s="531">
        <f>SUM(L167:L180)</f>
        <v>212200</v>
      </c>
      <c r="M181" s="223">
        <f t="shared" ref="M181:N181" si="185">SUM(M167:M180)</f>
        <v>0</v>
      </c>
      <c r="N181" s="252">
        <f t="shared" si="185"/>
        <v>0</v>
      </c>
      <c r="O181" s="215">
        <f t="shared" si="183"/>
        <v>0</v>
      </c>
      <c r="P181" s="271">
        <f>SUM(P167:P180)</f>
        <v>191500</v>
      </c>
      <c r="Q181" s="271">
        <f>SUM(Q167:Q180)</f>
        <v>191500</v>
      </c>
      <c r="R181" s="271">
        <f>SUM(R167:R180)</f>
        <v>191500</v>
      </c>
    </row>
    <row r="182" spans="1:21" ht="9" hidden="1" customHeight="1" outlineLevel="1">
      <c r="B182" s="41"/>
      <c r="D182" s="66"/>
      <c r="E182" s="418"/>
      <c r="F182" s="278"/>
      <c r="G182" s="298"/>
      <c r="H182" s="215"/>
      <c r="I182" s="215"/>
      <c r="J182" s="215"/>
      <c r="K182" s="215"/>
      <c r="L182" s="528"/>
      <c r="M182" s="187"/>
      <c r="N182" s="187"/>
      <c r="O182" s="187"/>
      <c r="P182" s="269"/>
      <c r="Q182" s="269"/>
      <c r="R182" s="269"/>
    </row>
    <row r="183" spans="1:21" hidden="1" outlineLevel="1">
      <c r="A183" s="33" t="s">
        <v>2</v>
      </c>
      <c r="B183" s="41"/>
      <c r="C183" s="132">
        <v>349999</v>
      </c>
      <c r="D183" s="66" t="s">
        <v>37</v>
      </c>
      <c r="E183" s="418"/>
      <c r="F183" s="277">
        <f t="shared" ref="F183:G183" si="186">F164+F181</f>
        <v>706000</v>
      </c>
      <c r="G183" s="296">
        <f t="shared" si="186"/>
        <v>613399</v>
      </c>
      <c r="H183" s="223">
        <f t="shared" ref="H183:N183" si="187">H164+H181</f>
        <v>633500</v>
      </c>
      <c r="I183" s="223">
        <f t="shared" si="187"/>
        <v>596466</v>
      </c>
      <c r="J183" s="223">
        <f t="shared" si="187"/>
        <v>0</v>
      </c>
      <c r="K183" s="215">
        <f>I183+J183</f>
        <v>596466</v>
      </c>
      <c r="L183" s="531">
        <f t="shared" si="187"/>
        <v>218200</v>
      </c>
      <c r="M183" s="223">
        <f t="shared" si="187"/>
        <v>0</v>
      </c>
      <c r="N183" s="252">
        <f t="shared" si="187"/>
        <v>0</v>
      </c>
      <c r="O183" s="215">
        <f>M183+N183</f>
        <v>0</v>
      </c>
      <c r="P183" s="271">
        <f t="shared" ref="P183:Q183" si="188">P164+P181</f>
        <v>197500</v>
      </c>
      <c r="Q183" s="271">
        <f t="shared" si="188"/>
        <v>197500</v>
      </c>
      <c r="R183" s="271">
        <f t="shared" ref="R183" si="189">R164+R181</f>
        <v>197500</v>
      </c>
    </row>
    <row r="184" spans="1:21" ht="15" customHeight="1" collapsed="1">
      <c r="A184" s="33" t="s">
        <v>0</v>
      </c>
      <c r="B184" s="41"/>
      <c r="C184" s="130">
        <v>350000</v>
      </c>
      <c r="D184" s="63" t="s">
        <v>47</v>
      </c>
      <c r="E184" s="311"/>
      <c r="F184" s="278">
        <f t="shared" ref="F184" si="190">F195</f>
        <v>32000</v>
      </c>
      <c r="G184" s="298">
        <f t="shared" ref="G184" si="191">G195</f>
        <v>39121</v>
      </c>
      <c r="H184" s="215">
        <f>H195</f>
        <v>37000</v>
      </c>
      <c r="I184" s="215">
        <f t="shared" ref="I184:J184" si="192">I195</f>
        <v>38813</v>
      </c>
      <c r="J184" s="215">
        <f t="shared" si="192"/>
        <v>0</v>
      </c>
      <c r="K184" s="215">
        <f>I184+J184</f>
        <v>38813</v>
      </c>
      <c r="L184" s="411">
        <f>L195</f>
        <v>16000</v>
      </c>
      <c r="M184" s="215">
        <f t="shared" ref="M184:N184" si="193">M195</f>
        <v>0</v>
      </c>
      <c r="N184" s="139">
        <f t="shared" si="193"/>
        <v>0</v>
      </c>
      <c r="O184" s="215">
        <f>M184+N184</f>
        <v>0</v>
      </c>
      <c r="P184" s="270">
        <f>P195</f>
        <v>16000</v>
      </c>
      <c r="Q184" s="270">
        <f>Q195</f>
        <v>16000</v>
      </c>
      <c r="R184" s="270">
        <f>R195</f>
        <v>16000</v>
      </c>
    </row>
    <row r="185" spans="1:21" ht="15" hidden="1" customHeight="1" outlineLevel="1" collapsed="1">
      <c r="A185" s="33" t="s">
        <v>0</v>
      </c>
      <c r="B185" s="41"/>
      <c r="C185" s="132">
        <v>350100</v>
      </c>
      <c r="D185" s="11" t="s">
        <v>260</v>
      </c>
      <c r="F185" s="278"/>
      <c r="G185" s="298"/>
      <c r="H185" s="215">
        <f>H190</f>
        <v>0</v>
      </c>
      <c r="I185" s="215">
        <f t="shared" ref="I185:K185" si="194">I190</f>
        <v>0</v>
      </c>
      <c r="J185" s="215">
        <f t="shared" si="194"/>
        <v>0</v>
      </c>
      <c r="K185" s="215">
        <f t="shared" si="194"/>
        <v>0</v>
      </c>
      <c r="L185" s="528">
        <f>L190</f>
        <v>6000</v>
      </c>
      <c r="M185" s="215">
        <f t="shared" ref="M185:O185" si="195">M190</f>
        <v>0</v>
      </c>
      <c r="N185" s="139">
        <f t="shared" si="195"/>
        <v>0</v>
      </c>
      <c r="O185" s="215">
        <f t="shared" si="195"/>
        <v>0</v>
      </c>
      <c r="P185" s="269">
        <f t="shared" ref="P185:R185" si="196">P190</f>
        <v>6000</v>
      </c>
      <c r="Q185" s="269">
        <f t="shared" si="196"/>
        <v>6000</v>
      </c>
      <c r="R185" s="269">
        <f t="shared" si="196"/>
        <v>6000</v>
      </c>
    </row>
    <row r="186" spans="1:21" ht="15" hidden="1" customHeight="1" outlineLevel="2">
      <c r="A186" s="33" t="s">
        <v>136</v>
      </c>
      <c r="B186" s="41"/>
      <c r="C186" s="127">
        <v>350101</v>
      </c>
      <c r="D186" s="14" t="s">
        <v>261</v>
      </c>
      <c r="F186" s="278">
        <v>0</v>
      </c>
      <c r="G186" s="298">
        <v>0</v>
      </c>
      <c r="H186" s="215">
        <v>0</v>
      </c>
      <c r="I186" s="215">
        <v>0</v>
      </c>
      <c r="J186" s="215">
        <v>0</v>
      </c>
      <c r="K186" s="215">
        <f>I186+J186</f>
        <v>0</v>
      </c>
      <c r="L186" s="528">
        <v>0</v>
      </c>
      <c r="M186" s="215">
        <v>0</v>
      </c>
      <c r="N186" s="139">
        <v>0</v>
      </c>
      <c r="O186" s="215">
        <f>M186+N186</f>
        <v>0</v>
      </c>
      <c r="P186" s="269">
        <v>0</v>
      </c>
      <c r="Q186" s="269">
        <v>0</v>
      </c>
      <c r="R186" s="269">
        <v>0</v>
      </c>
    </row>
    <row r="187" spans="1:21" ht="15" hidden="1" customHeight="1" outlineLevel="2">
      <c r="A187" s="33" t="s">
        <v>136</v>
      </c>
      <c r="B187" s="41"/>
      <c r="C187" s="127">
        <v>350102</v>
      </c>
      <c r="D187" s="14" t="s">
        <v>262</v>
      </c>
      <c r="F187" s="278">
        <v>0</v>
      </c>
      <c r="G187" s="298">
        <v>0</v>
      </c>
      <c r="H187" s="215">
        <v>0</v>
      </c>
      <c r="I187" s="215">
        <v>0</v>
      </c>
      <c r="J187" s="215">
        <v>0</v>
      </c>
      <c r="K187" s="215">
        <f>I187+J187</f>
        <v>0</v>
      </c>
      <c r="L187" s="528">
        <v>5000</v>
      </c>
      <c r="M187" s="215">
        <v>0</v>
      </c>
      <c r="N187" s="139">
        <v>0</v>
      </c>
      <c r="O187" s="215">
        <f>M187+N187</f>
        <v>0</v>
      </c>
      <c r="P187" s="269">
        <v>5000</v>
      </c>
      <c r="Q187" s="269">
        <v>5000</v>
      </c>
      <c r="R187" s="269">
        <v>5000</v>
      </c>
    </row>
    <row r="188" spans="1:21" ht="15" hidden="1" customHeight="1" outlineLevel="2">
      <c r="A188" s="33" t="s">
        <v>136</v>
      </c>
      <c r="B188" s="41"/>
      <c r="C188" s="127">
        <v>350103</v>
      </c>
      <c r="D188" s="14" t="s">
        <v>263</v>
      </c>
      <c r="F188" s="278">
        <v>0</v>
      </c>
      <c r="G188" s="298">
        <v>0</v>
      </c>
      <c r="H188" s="215">
        <v>0</v>
      </c>
      <c r="I188" s="215">
        <v>0</v>
      </c>
      <c r="J188" s="215">
        <v>0</v>
      </c>
      <c r="K188" s="215">
        <f>I188+J188</f>
        <v>0</v>
      </c>
      <c r="L188" s="528">
        <v>1000</v>
      </c>
      <c r="M188" s="215">
        <v>0</v>
      </c>
      <c r="N188" s="139">
        <v>0</v>
      </c>
      <c r="O188" s="215">
        <f>M188+N188</f>
        <v>0</v>
      </c>
      <c r="P188" s="269">
        <v>1000</v>
      </c>
      <c r="Q188" s="269">
        <v>1000</v>
      </c>
      <c r="R188" s="269">
        <v>1000</v>
      </c>
    </row>
    <row r="189" spans="1:21" ht="15" hidden="1" customHeight="1" outlineLevel="2">
      <c r="A189" s="33" t="s">
        <v>136</v>
      </c>
      <c r="B189" s="41"/>
      <c r="C189" s="127">
        <v>350109</v>
      </c>
      <c r="D189" s="14" t="s">
        <v>264</v>
      </c>
      <c r="F189" s="280">
        <v>0</v>
      </c>
      <c r="G189" s="300">
        <v>0</v>
      </c>
      <c r="H189" s="217">
        <v>0</v>
      </c>
      <c r="I189" s="217">
        <v>0</v>
      </c>
      <c r="J189" s="217">
        <v>0</v>
      </c>
      <c r="K189" s="217">
        <f>I189+J189</f>
        <v>0</v>
      </c>
      <c r="L189" s="530"/>
      <c r="M189" s="217">
        <v>0</v>
      </c>
      <c r="N189" s="217">
        <v>0</v>
      </c>
      <c r="O189" s="217">
        <f>M189+N189</f>
        <v>0</v>
      </c>
      <c r="P189" s="360"/>
      <c r="Q189" s="360"/>
      <c r="R189" s="360"/>
      <c r="S189" s="353"/>
      <c r="T189" s="353"/>
      <c r="U189" s="353"/>
    </row>
    <row r="190" spans="1:21" ht="15" hidden="1" customHeight="1" outlineLevel="2">
      <c r="A190" s="33" t="s">
        <v>2</v>
      </c>
      <c r="B190" s="41"/>
      <c r="C190" s="132">
        <v>350199</v>
      </c>
      <c r="D190" s="11" t="s">
        <v>265</v>
      </c>
      <c r="F190" s="277">
        <f t="shared" ref="F190" si="197">SUM(F186:F189)</f>
        <v>0</v>
      </c>
      <c r="G190" s="296">
        <f t="shared" ref="G190" si="198">SUM(G186:G189)</f>
        <v>0</v>
      </c>
      <c r="H190" s="223">
        <f t="shared" ref="H190:L190" si="199">SUM(H186:H189)</f>
        <v>0</v>
      </c>
      <c r="I190" s="223">
        <f t="shared" si="199"/>
        <v>0</v>
      </c>
      <c r="J190" s="223">
        <f t="shared" si="199"/>
        <v>0</v>
      </c>
      <c r="K190" s="215">
        <f>I190+J190</f>
        <v>0</v>
      </c>
      <c r="L190" s="531">
        <f t="shared" si="199"/>
        <v>6000</v>
      </c>
      <c r="M190" s="223">
        <f t="shared" ref="M190:N190" si="200">SUM(M186:M189)</f>
        <v>0</v>
      </c>
      <c r="N190" s="252">
        <f t="shared" si="200"/>
        <v>0</v>
      </c>
      <c r="O190" s="215">
        <f>M190+N190</f>
        <v>0</v>
      </c>
      <c r="P190" s="271">
        <f t="shared" ref="P190:Q190" si="201">SUM(P186:P189)</f>
        <v>6000</v>
      </c>
      <c r="Q190" s="271">
        <f t="shared" si="201"/>
        <v>6000</v>
      </c>
      <c r="R190" s="271">
        <f t="shared" ref="R190" si="202">SUM(R186:R189)</f>
        <v>6000</v>
      </c>
    </row>
    <row r="191" spans="1:21" ht="9" hidden="1" customHeight="1" outlineLevel="1">
      <c r="B191" s="41"/>
      <c r="C191" s="132"/>
      <c r="D191" s="11"/>
      <c r="F191" s="277"/>
      <c r="G191" s="296"/>
      <c r="H191" s="223"/>
      <c r="I191" s="215"/>
      <c r="J191" s="215"/>
      <c r="K191" s="215"/>
      <c r="L191" s="528"/>
      <c r="M191" s="187"/>
      <c r="N191" s="187"/>
      <c r="O191" s="187"/>
      <c r="P191" s="269"/>
      <c r="Q191" s="269"/>
      <c r="R191" s="269"/>
    </row>
    <row r="192" spans="1:21" ht="15" hidden="1" customHeight="1" outlineLevel="1">
      <c r="B192" s="41"/>
      <c r="C192" s="127">
        <v>358801</v>
      </c>
      <c r="D192" s="14" t="s">
        <v>70</v>
      </c>
      <c r="E192" s="105" t="s">
        <v>495</v>
      </c>
      <c r="F192" s="278">
        <v>20000</v>
      </c>
      <c r="G192" s="298">
        <v>27421</v>
      </c>
      <c r="H192" s="215">
        <v>25000</v>
      </c>
      <c r="I192" s="215">
        <v>28413</v>
      </c>
      <c r="J192" s="215">
        <v>0</v>
      </c>
      <c r="K192" s="215">
        <f>I192+J192</f>
        <v>28413</v>
      </c>
      <c r="L192" s="414">
        <v>0</v>
      </c>
      <c r="M192" s="215"/>
      <c r="N192" s="139">
        <v>0</v>
      </c>
      <c r="O192" s="215">
        <f>M192+N192</f>
        <v>0</v>
      </c>
      <c r="P192" s="374">
        <v>0</v>
      </c>
      <c r="Q192" s="374">
        <v>0</v>
      </c>
      <c r="R192" s="374">
        <v>0</v>
      </c>
    </row>
    <row r="193" spans="1:19" ht="15" hidden="1" customHeight="1" outlineLevel="1">
      <c r="A193" s="33" t="s">
        <v>136</v>
      </c>
      <c r="B193" s="41">
        <v>4510</v>
      </c>
      <c r="C193" s="127">
        <v>358805</v>
      </c>
      <c r="D193" s="14" t="s">
        <v>167</v>
      </c>
      <c r="E193" s="312"/>
      <c r="F193" s="278">
        <v>12000</v>
      </c>
      <c r="G193" s="381">
        <v>11700</v>
      </c>
      <c r="H193" s="139">
        <v>12000</v>
      </c>
      <c r="I193" s="139">
        <v>10400</v>
      </c>
      <c r="J193" s="139">
        <v>0</v>
      </c>
      <c r="K193" s="139">
        <f>I193+J193</f>
        <v>10400</v>
      </c>
      <c r="L193" s="414">
        <v>10000</v>
      </c>
      <c r="M193" s="86"/>
      <c r="N193" s="86"/>
      <c r="O193" s="139">
        <f>M193+N193</f>
        <v>0</v>
      </c>
      <c r="P193" s="414">
        <v>10000</v>
      </c>
      <c r="Q193" s="414">
        <v>10000</v>
      </c>
      <c r="R193" s="86">
        <v>10000</v>
      </c>
    </row>
    <row r="194" spans="1:19" ht="9" hidden="1" customHeight="1" outlineLevel="1">
      <c r="B194" s="41"/>
      <c r="D194" s="14"/>
      <c r="E194" s="312"/>
      <c r="F194" s="278"/>
      <c r="G194" s="298"/>
      <c r="H194" s="139"/>
      <c r="I194" s="139"/>
      <c r="J194" s="139"/>
      <c r="K194" s="139"/>
      <c r="L194" s="528"/>
      <c r="M194" s="187"/>
      <c r="N194" s="187"/>
      <c r="O194" s="187"/>
      <c r="P194" s="269"/>
      <c r="Q194" s="269"/>
      <c r="R194" s="269"/>
    </row>
    <row r="195" spans="1:19" ht="15" hidden="1" customHeight="1" outlineLevel="1">
      <c r="A195" s="33" t="s">
        <v>2</v>
      </c>
      <c r="B195" s="41">
        <v>4599</v>
      </c>
      <c r="C195" s="127">
        <v>359999</v>
      </c>
      <c r="D195" s="12" t="s">
        <v>69</v>
      </c>
      <c r="F195" s="277">
        <f>SUM(F190:F193)</f>
        <v>32000</v>
      </c>
      <c r="G195" s="296">
        <f>SUM(G190:G193)</f>
        <v>39121</v>
      </c>
      <c r="H195" s="223">
        <f>SUM(H190:H193)</f>
        <v>37000</v>
      </c>
      <c r="I195" s="223">
        <f>SUM(I190:I193)</f>
        <v>38813</v>
      </c>
      <c r="J195" s="223">
        <f>SUM(J190:J193)</f>
        <v>0</v>
      </c>
      <c r="K195" s="215">
        <f t="shared" ref="K195:K200" si="203">I195+J195</f>
        <v>38813</v>
      </c>
      <c r="L195" s="531">
        <f>L190+L192+L193</f>
        <v>16000</v>
      </c>
      <c r="M195" s="223">
        <f>SUM(M190:M193)</f>
        <v>0</v>
      </c>
      <c r="N195" s="252">
        <f>SUM(N190:N193)</f>
        <v>0</v>
      </c>
      <c r="O195" s="215">
        <f t="shared" ref="O195:O198" si="204">M195+N195</f>
        <v>0</v>
      </c>
      <c r="P195" s="271">
        <f>P190+P192+P193</f>
        <v>16000</v>
      </c>
      <c r="Q195" s="271">
        <f>Q190+Q192+Q193</f>
        <v>16000</v>
      </c>
      <c r="R195" s="271">
        <f>R190+R192+R193</f>
        <v>16000</v>
      </c>
    </row>
    <row r="196" spans="1:19" ht="12.75" customHeight="1" collapsed="1">
      <c r="A196" s="33" t="s">
        <v>0</v>
      </c>
      <c r="B196" s="41"/>
      <c r="C196" s="130">
        <v>420000</v>
      </c>
      <c r="D196" s="37" t="s">
        <v>108</v>
      </c>
      <c r="E196" s="425"/>
      <c r="F196" s="278">
        <f t="shared" ref="F196:G196" si="205">SUM(F197:F198)</f>
        <v>117000</v>
      </c>
      <c r="G196" s="298">
        <f t="shared" si="205"/>
        <v>189250</v>
      </c>
      <c r="H196" s="215">
        <f t="shared" ref="H196:N196" si="206">SUM(H197:H198)</f>
        <v>192550</v>
      </c>
      <c r="I196" s="215">
        <f t="shared" si="206"/>
        <v>169679</v>
      </c>
      <c r="J196" s="215">
        <f t="shared" si="206"/>
        <v>0</v>
      </c>
      <c r="K196" s="215">
        <f t="shared" si="203"/>
        <v>169679</v>
      </c>
      <c r="L196" s="411">
        <f t="shared" si="206"/>
        <v>162375</v>
      </c>
      <c r="M196" s="215">
        <f t="shared" si="206"/>
        <v>0</v>
      </c>
      <c r="N196" s="139">
        <f t="shared" si="206"/>
        <v>0</v>
      </c>
      <c r="O196" s="215">
        <f t="shared" si="204"/>
        <v>0</v>
      </c>
      <c r="P196" s="270">
        <f t="shared" ref="P196:Q196" si="207">SUM(P197:P198)</f>
        <v>150000</v>
      </c>
      <c r="Q196" s="270">
        <f t="shared" si="207"/>
        <v>150000</v>
      </c>
      <c r="R196" s="270">
        <f t="shared" ref="R196" si="208">SUM(R197:R198)</f>
        <v>150000</v>
      </c>
    </row>
    <row r="197" spans="1:19" ht="15" hidden="1" customHeight="1" outlineLevel="1">
      <c r="A197" s="33" t="s">
        <v>136</v>
      </c>
      <c r="B197" s="41">
        <v>4000</v>
      </c>
      <c r="C197" s="107">
        <v>420101</v>
      </c>
      <c r="D197" s="14" t="s">
        <v>64</v>
      </c>
      <c r="E197" s="50"/>
      <c r="F197" s="278">
        <v>90000</v>
      </c>
      <c r="G197" s="298">
        <v>162250</v>
      </c>
      <c r="H197" s="215">
        <v>165550</v>
      </c>
      <c r="I197" s="215">
        <v>151679</v>
      </c>
      <c r="J197" s="215">
        <v>0</v>
      </c>
      <c r="K197" s="215">
        <f t="shared" si="203"/>
        <v>151679</v>
      </c>
      <c r="L197" s="414">
        <f>'2018 Sommerlejr'!C24</f>
        <v>162375</v>
      </c>
      <c r="M197" s="86"/>
      <c r="N197" s="86"/>
      <c r="O197" s="215">
        <f t="shared" si="204"/>
        <v>0</v>
      </c>
      <c r="P197" s="374">
        <v>150000</v>
      </c>
      <c r="Q197" s="374">
        <v>150000</v>
      </c>
      <c r="R197" s="374">
        <v>150000</v>
      </c>
      <c r="S197" s="453"/>
    </row>
    <row r="198" spans="1:19" s="5" customFormat="1" ht="15" hidden="1" customHeight="1" outlineLevel="1">
      <c r="A198" s="33" t="s">
        <v>136</v>
      </c>
      <c r="B198" s="41">
        <v>4010</v>
      </c>
      <c r="C198" s="107">
        <v>420201</v>
      </c>
      <c r="D198" s="67" t="s">
        <v>270</v>
      </c>
      <c r="E198" s="85"/>
      <c r="F198" s="282">
        <v>27000</v>
      </c>
      <c r="G198" s="300">
        <v>27000</v>
      </c>
      <c r="H198" s="217">
        <v>27000</v>
      </c>
      <c r="I198" s="217">
        <v>18000</v>
      </c>
      <c r="J198" s="217">
        <v>0</v>
      </c>
      <c r="K198" s="217">
        <f t="shared" si="203"/>
        <v>18000</v>
      </c>
      <c r="L198" s="540">
        <v>0</v>
      </c>
      <c r="M198" s="259">
        <v>0</v>
      </c>
      <c r="N198" s="259">
        <v>0</v>
      </c>
      <c r="O198" s="217">
        <f t="shared" si="204"/>
        <v>0</v>
      </c>
      <c r="P198" s="376">
        <v>0</v>
      </c>
      <c r="Q198" s="376">
        <v>0</v>
      </c>
      <c r="R198" s="376">
        <v>0</v>
      </c>
    </row>
    <row r="199" spans="1:19" s="5" customFormat="1" ht="15" hidden="1" customHeight="1" outlineLevel="1">
      <c r="A199" s="50" t="s">
        <v>2</v>
      </c>
      <c r="B199" s="41"/>
      <c r="C199" s="130">
        <v>429999</v>
      </c>
      <c r="D199" s="11" t="s">
        <v>271</v>
      </c>
      <c r="E199" s="50"/>
      <c r="F199" s="278">
        <f t="shared" ref="F199" si="209">SUM(F197:F198)</f>
        <v>117000</v>
      </c>
      <c r="G199" s="298">
        <f t="shared" ref="G199" si="210">SUM(G197:G198)</f>
        <v>189250</v>
      </c>
      <c r="H199" s="215">
        <f t="shared" ref="H199:N199" si="211">SUM(H197:H198)</f>
        <v>192550</v>
      </c>
      <c r="I199" s="215">
        <f t="shared" si="211"/>
        <v>169679</v>
      </c>
      <c r="J199" s="215">
        <f t="shared" si="211"/>
        <v>0</v>
      </c>
      <c r="K199" s="215">
        <f t="shared" si="203"/>
        <v>169679</v>
      </c>
      <c r="L199" s="411">
        <f t="shared" si="211"/>
        <v>162375</v>
      </c>
      <c r="M199" s="215">
        <f t="shared" si="211"/>
        <v>0</v>
      </c>
      <c r="N199" s="139">
        <f t="shared" si="211"/>
        <v>0</v>
      </c>
      <c r="O199" s="215">
        <f t="shared" ref="O199:O200" si="212">M199+N199</f>
        <v>0</v>
      </c>
      <c r="P199" s="270">
        <f t="shared" ref="P199:Q199" si="213">SUM(P197:P198)</f>
        <v>150000</v>
      </c>
      <c r="Q199" s="270">
        <f t="shared" si="213"/>
        <v>150000</v>
      </c>
      <c r="R199" s="270">
        <f t="shared" ref="R199" si="214">SUM(R197:R198)</f>
        <v>150000</v>
      </c>
    </row>
    <row r="200" spans="1:19" ht="12.75" customHeight="1" collapsed="1">
      <c r="A200" s="33" t="s">
        <v>0</v>
      </c>
      <c r="B200" s="41"/>
      <c r="C200" s="130">
        <v>410000</v>
      </c>
      <c r="D200" s="197" t="s">
        <v>186</v>
      </c>
      <c r="E200" s="424"/>
      <c r="F200" s="278">
        <f t="shared" ref="F200" si="215">F217</f>
        <v>105000</v>
      </c>
      <c r="G200" s="298">
        <f t="shared" ref="G200" si="216">G217</f>
        <v>150002</v>
      </c>
      <c r="H200" s="215">
        <f t="shared" ref="H200:N200" si="217">H217</f>
        <v>127000</v>
      </c>
      <c r="I200" s="215">
        <f t="shared" si="217"/>
        <v>179412</v>
      </c>
      <c r="J200" s="215">
        <f t="shared" si="217"/>
        <v>0</v>
      </c>
      <c r="K200" s="215">
        <f t="shared" si="203"/>
        <v>179412</v>
      </c>
      <c r="L200" s="411">
        <f t="shared" si="217"/>
        <v>189250</v>
      </c>
      <c r="M200" s="215">
        <f t="shared" si="217"/>
        <v>0</v>
      </c>
      <c r="N200" s="139">
        <f t="shared" si="217"/>
        <v>0</v>
      </c>
      <c r="O200" s="215">
        <f t="shared" si="212"/>
        <v>0</v>
      </c>
      <c r="P200" s="270">
        <f t="shared" ref="P200:Q200" si="218">P217</f>
        <v>135250</v>
      </c>
      <c r="Q200" s="270">
        <f t="shared" si="218"/>
        <v>136250</v>
      </c>
      <c r="R200" s="270">
        <f t="shared" ref="R200" si="219">R217</f>
        <v>156250</v>
      </c>
    </row>
    <row r="201" spans="1:19" ht="9" hidden="1" customHeight="1" outlineLevel="1">
      <c r="B201" s="41"/>
      <c r="F201" s="278"/>
      <c r="G201" s="303"/>
      <c r="H201" s="213"/>
      <c r="I201" s="215"/>
      <c r="J201" s="215"/>
      <c r="K201" s="215"/>
      <c r="L201" s="528"/>
      <c r="M201" s="187"/>
      <c r="N201" s="187"/>
      <c r="O201" s="187"/>
      <c r="P201" s="269"/>
      <c r="Q201" s="269"/>
      <c r="R201" s="269"/>
    </row>
    <row r="202" spans="1:19" ht="15" hidden="1" customHeight="1" outlineLevel="1" collapsed="1">
      <c r="A202" s="33" t="s">
        <v>0</v>
      </c>
      <c r="B202" s="41"/>
      <c r="C202" s="132">
        <v>410100</v>
      </c>
      <c r="D202" s="11" t="s">
        <v>90</v>
      </c>
      <c r="E202" s="417"/>
      <c r="F202" s="278"/>
      <c r="G202" s="303"/>
      <c r="H202" s="213">
        <f>H209</f>
        <v>120500</v>
      </c>
      <c r="I202" s="213">
        <f t="shared" ref="I202:O202" si="220">I209</f>
        <v>179412</v>
      </c>
      <c r="J202" s="213">
        <f t="shared" si="220"/>
        <v>0</v>
      </c>
      <c r="K202" s="213">
        <f t="shared" si="220"/>
        <v>179412</v>
      </c>
      <c r="L202" s="525">
        <f>L209</f>
        <v>184250</v>
      </c>
      <c r="M202" s="213">
        <f t="shared" si="220"/>
        <v>0</v>
      </c>
      <c r="N202" s="187">
        <f t="shared" si="220"/>
        <v>0</v>
      </c>
      <c r="O202" s="213">
        <f t="shared" si="220"/>
        <v>0</v>
      </c>
      <c r="P202" s="402">
        <f>P209</f>
        <v>130250</v>
      </c>
      <c r="Q202" s="402">
        <f>Q209</f>
        <v>131250</v>
      </c>
      <c r="R202" s="402">
        <f>R209</f>
        <v>151250</v>
      </c>
    </row>
    <row r="203" spans="1:19" ht="15" hidden="1" customHeight="1" outlineLevel="2">
      <c r="A203" s="33" t="s">
        <v>136</v>
      </c>
      <c r="B203" s="41">
        <v>5091</v>
      </c>
      <c r="C203" s="127">
        <v>410101</v>
      </c>
      <c r="D203" s="12" t="s">
        <v>41</v>
      </c>
      <c r="F203" s="278">
        <v>24000</v>
      </c>
      <c r="G203" s="298">
        <v>24000</v>
      </c>
      <c r="H203" s="215">
        <v>28500</v>
      </c>
      <c r="I203" s="215">
        <v>28437</v>
      </c>
      <c r="J203" s="215">
        <v>0</v>
      </c>
      <c r="K203" s="215">
        <f t="shared" ref="K203:K209" si="221">I203+J203</f>
        <v>28437</v>
      </c>
      <c r="L203" s="528">
        <v>26250</v>
      </c>
      <c r="M203" s="187"/>
      <c r="N203" s="187"/>
      <c r="O203" s="215">
        <f t="shared" ref="O203:O209" si="222">M203+N203</f>
        <v>0</v>
      </c>
      <c r="P203" s="269">
        <v>26250</v>
      </c>
      <c r="Q203" s="269">
        <v>26250</v>
      </c>
      <c r="R203" s="269">
        <v>26250</v>
      </c>
    </row>
    <row r="204" spans="1:19" ht="15" hidden="1" customHeight="1" outlineLevel="2">
      <c r="A204" s="33" t="s">
        <v>136</v>
      </c>
      <c r="B204" s="41">
        <v>5090</v>
      </c>
      <c r="C204" s="127">
        <v>410102</v>
      </c>
      <c r="D204" s="12" t="s">
        <v>15</v>
      </c>
      <c r="F204" s="278">
        <v>30000</v>
      </c>
      <c r="G204" s="298">
        <v>47951</v>
      </c>
      <c r="H204" s="215">
        <v>25000</v>
      </c>
      <c r="I204" s="215">
        <v>23883</v>
      </c>
      <c r="J204" s="215">
        <v>0</v>
      </c>
      <c r="K204" s="215">
        <f t="shared" si="221"/>
        <v>23883</v>
      </c>
      <c r="L204" s="411">
        <v>24000</v>
      </c>
      <c r="M204" s="139"/>
      <c r="N204" s="139"/>
      <c r="O204" s="215">
        <f t="shared" si="222"/>
        <v>0</v>
      </c>
      <c r="P204" s="270">
        <v>24000</v>
      </c>
      <c r="Q204" s="270">
        <v>24000</v>
      </c>
      <c r="R204" s="270">
        <v>24000</v>
      </c>
    </row>
    <row r="205" spans="1:19" ht="15" hidden="1" customHeight="1" outlineLevel="2">
      <c r="A205" s="33" t="s">
        <v>136</v>
      </c>
      <c r="B205" s="41"/>
      <c r="C205" s="127">
        <v>410103</v>
      </c>
      <c r="D205" s="12" t="s">
        <v>317</v>
      </c>
      <c r="F205" s="278">
        <v>0</v>
      </c>
      <c r="G205" s="299">
        <v>6981</v>
      </c>
      <c r="H205" s="215">
        <v>22000</v>
      </c>
      <c r="I205" s="215">
        <v>29464</v>
      </c>
      <c r="J205" s="215">
        <v>0</v>
      </c>
      <c r="K205" s="215">
        <f t="shared" si="221"/>
        <v>29464</v>
      </c>
      <c r="L205" s="528">
        <v>17000</v>
      </c>
      <c r="M205" s="187"/>
      <c r="N205" s="187"/>
      <c r="O205" s="215">
        <f t="shared" si="222"/>
        <v>0</v>
      </c>
      <c r="P205" s="269">
        <v>17000</v>
      </c>
      <c r="Q205" s="269">
        <v>17000</v>
      </c>
      <c r="R205" s="269">
        <v>17000</v>
      </c>
    </row>
    <row r="206" spans="1:19" ht="15" hidden="1" customHeight="1" outlineLevel="2">
      <c r="A206" s="33" t="s">
        <v>136</v>
      </c>
      <c r="B206" s="45">
        <v>7000</v>
      </c>
      <c r="C206" s="107">
        <v>410105</v>
      </c>
      <c r="D206" s="12" t="s">
        <v>298</v>
      </c>
      <c r="E206" s="50"/>
      <c r="F206" s="278">
        <v>8000</v>
      </c>
      <c r="G206" s="299">
        <v>38422</v>
      </c>
      <c r="H206" s="215">
        <v>25000</v>
      </c>
      <c r="I206" s="215">
        <v>18215</v>
      </c>
      <c r="J206" s="215">
        <v>0</v>
      </c>
      <c r="K206" s="215">
        <f t="shared" si="221"/>
        <v>18215</v>
      </c>
      <c r="L206" s="411">
        <v>13000</v>
      </c>
      <c r="M206" s="139"/>
      <c r="N206" s="139"/>
      <c r="O206" s="215">
        <f t="shared" si="222"/>
        <v>0</v>
      </c>
      <c r="P206" s="270">
        <v>9000</v>
      </c>
      <c r="Q206" s="270">
        <v>10000</v>
      </c>
      <c r="R206" s="270">
        <v>10000</v>
      </c>
    </row>
    <row r="207" spans="1:19" ht="15" hidden="1" customHeight="1" outlineLevel="2">
      <c r="B207" s="45"/>
      <c r="C207" s="107">
        <v>410106</v>
      </c>
      <c r="D207" s="12" t="s">
        <v>496</v>
      </c>
      <c r="E207" s="50" t="s">
        <v>497</v>
      </c>
      <c r="F207" s="278"/>
      <c r="G207" s="299"/>
      <c r="H207" s="215">
        <v>0</v>
      </c>
      <c r="I207" s="215">
        <v>55858</v>
      </c>
      <c r="J207" s="215">
        <v>0</v>
      </c>
      <c r="K207" s="215">
        <f t="shared" si="221"/>
        <v>55858</v>
      </c>
      <c r="L207" s="411">
        <v>100000</v>
      </c>
      <c r="M207" s="139"/>
      <c r="N207" s="139"/>
      <c r="O207" s="215">
        <f t="shared" si="222"/>
        <v>0</v>
      </c>
      <c r="P207" s="269">
        <v>50000</v>
      </c>
      <c r="Q207" s="269">
        <v>50000</v>
      </c>
      <c r="R207" s="269">
        <v>50000</v>
      </c>
      <c r="S207" s="6"/>
    </row>
    <row r="208" spans="1:19" ht="15" hidden="1" customHeight="1" outlineLevel="2">
      <c r="A208" s="33" t="s">
        <v>136</v>
      </c>
      <c r="B208" s="45">
        <v>7040</v>
      </c>
      <c r="C208" s="107">
        <v>410107</v>
      </c>
      <c r="D208" s="12" t="s">
        <v>266</v>
      </c>
      <c r="E208" s="50"/>
      <c r="F208" s="280">
        <v>20000</v>
      </c>
      <c r="G208" s="300">
        <v>20035</v>
      </c>
      <c r="H208" s="216">
        <v>20000</v>
      </c>
      <c r="I208" s="217">
        <v>23555</v>
      </c>
      <c r="J208" s="217">
        <v>0</v>
      </c>
      <c r="K208" s="217">
        <f t="shared" si="221"/>
        <v>23555</v>
      </c>
      <c r="L208" s="530">
        <v>4000</v>
      </c>
      <c r="M208" s="216"/>
      <c r="N208" s="216"/>
      <c r="O208" s="217">
        <f t="shared" si="222"/>
        <v>0</v>
      </c>
      <c r="P208" s="360">
        <v>4000</v>
      </c>
      <c r="Q208" s="360">
        <v>4000</v>
      </c>
      <c r="R208" s="360">
        <v>24000</v>
      </c>
    </row>
    <row r="209" spans="1:18" ht="15" hidden="1" customHeight="1" outlineLevel="2">
      <c r="A209" s="33" t="s">
        <v>2</v>
      </c>
      <c r="B209" s="42" t="s">
        <v>165</v>
      </c>
      <c r="C209" s="130">
        <v>410199</v>
      </c>
      <c r="D209" s="16" t="s">
        <v>168</v>
      </c>
      <c r="E209" s="50"/>
      <c r="F209" s="277">
        <f t="shared" ref="F209" si="223">SUM(F203:F208)</f>
        <v>82000</v>
      </c>
      <c r="G209" s="296">
        <f t="shared" ref="G209" si="224">SUM(G203:G208)</f>
        <v>137389</v>
      </c>
      <c r="H209" s="223">
        <f>SUM(H203:H208)</f>
        <v>120500</v>
      </c>
      <c r="I209" s="223">
        <f t="shared" ref="I209:J209" si="225">SUM(I203:I208)</f>
        <v>179412</v>
      </c>
      <c r="J209" s="223">
        <f t="shared" si="225"/>
        <v>0</v>
      </c>
      <c r="K209" s="223">
        <f t="shared" si="221"/>
        <v>179412</v>
      </c>
      <c r="L209" s="531">
        <f>SUM(L203:L208)</f>
        <v>184250</v>
      </c>
      <c r="M209" s="223">
        <f t="shared" ref="M209:N209" si="226">SUM(M203:M208)</f>
        <v>0</v>
      </c>
      <c r="N209" s="252">
        <f t="shared" si="226"/>
        <v>0</v>
      </c>
      <c r="O209" s="223">
        <f t="shared" si="222"/>
        <v>0</v>
      </c>
      <c r="P209" s="271">
        <f>SUM(P203:P208)</f>
        <v>130250</v>
      </c>
      <c r="Q209" s="271">
        <f>SUM(Q203:Q208)</f>
        <v>131250</v>
      </c>
      <c r="R209" s="271">
        <f>SUM(R203:R208)</f>
        <v>151250</v>
      </c>
    </row>
    <row r="210" spans="1:18" ht="15" hidden="1" customHeight="1" outlineLevel="1" collapsed="1">
      <c r="A210" s="33" t="s">
        <v>0</v>
      </c>
      <c r="B210" s="45"/>
      <c r="C210" s="130">
        <v>410200</v>
      </c>
      <c r="D210" s="16" t="s">
        <v>40</v>
      </c>
      <c r="E210" s="417"/>
      <c r="F210" s="278"/>
      <c r="G210" s="303"/>
      <c r="H210" s="213">
        <f>H215</f>
        <v>6500</v>
      </c>
      <c r="I210" s="213">
        <f t="shared" ref="I210:N210" si="227">I215</f>
        <v>0</v>
      </c>
      <c r="J210" s="213">
        <f t="shared" si="227"/>
        <v>0</v>
      </c>
      <c r="K210" s="213">
        <f t="shared" si="227"/>
        <v>0</v>
      </c>
      <c r="L210" s="525">
        <f>L215</f>
        <v>5000</v>
      </c>
      <c r="M210" s="213">
        <f t="shared" si="227"/>
        <v>0</v>
      </c>
      <c r="N210" s="187">
        <f t="shared" si="227"/>
        <v>0</v>
      </c>
      <c r="O210" s="213">
        <f t="shared" ref="O210" si="228">O215</f>
        <v>0</v>
      </c>
      <c r="P210" s="402">
        <f>P215</f>
        <v>5000</v>
      </c>
      <c r="Q210" s="402">
        <f>Q215</f>
        <v>5000</v>
      </c>
      <c r="R210" s="402">
        <f>R215</f>
        <v>5000</v>
      </c>
    </row>
    <row r="211" spans="1:18" ht="15" hidden="1" customHeight="1" outlineLevel="2">
      <c r="A211" s="33" t="s">
        <v>136</v>
      </c>
      <c r="B211" s="45">
        <v>7020</v>
      </c>
      <c r="C211" s="107">
        <v>410201</v>
      </c>
      <c r="D211" s="12" t="s">
        <v>267</v>
      </c>
      <c r="E211" s="50"/>
      <c r="F211" s="278">
        <v>5000</v>
      </c>
      <c r="G211" s="299">
        <v>799</v>
      </c>
      <c r="H211" s="215">
        <v>1500</v>
      </c>
      <c r="I211" s="215">
        <v>0</v>
      </c>
      <c r="J211" s="215">
        <v>0</v>
      </c>
      <c r="K211" s="215">
        <f>I211+J211</f>
        <v>0</v>
      </c>
      <c r="L211" s="528">
        <v>0</v>
      </c>
      <c r="M211" s="187"/>
      <c r="N211" s="187"/>
      <c r="O211" s="215">
        <f>M211+N211</f>
        <v>0</v>
      </c>
      <c r="P211" s="269">
        <v>0</v>
      </c>
      <c r="Q211" s="269">
        <v>0</v>
      </c>
      <c r="R211" s="269">
        <v>0</v>
      </c>
    </row>
    <row r="212" spans="1:18" s="5" customFormat="1" ht="15" hidden="1" customHeight="1" outlineLevel="2">
      <c r="A212" s="33" t="s">
        <v>136</v>
      </c>
      <c r="B212" s="42" t="s">
        <v>67</v>
      </c>
      <c r="C212" s="107">
        <v>410202</v>
      </c>
      <c r="D212" s="14" t="s">
        <v>269</v>
      </c>
      <c r="E212" s="313"/>
      <c r="F212" s="278">
        <v>8000</v>
      </c>
      <c r="G212" s="298">
        <v>4910</v>
      </c>
      <c r="H212" s="215">
        <v>5000</v>
      </c>
      <c r="I212" s="215">
        <v>0</v>
      </c>
      <c r="J212" s="215">
        <v>0</v>
      </c>
      <c r="K212" s="215">
        <f>I212+J212</f>
        <v>0</v>
      </c>
      <c r="L212" s="411">
        <v>5000</v>
      </c>
      <c r="M212" s="139"/>
      <c r="N212" s="139"/>
      <c r="O212" s="215">
        <f>M212+N212</f>
        <v>0</v>
      </c>
      <c r="P212" s="270">
        <v>5000</v>
      </c>
      <c r="Q212" s="270">
        <v>5000</v>
      </c>
      <c r="R212" s="270">
        <v>5000</v>
      </c>
    </row>
    <row r="213" spans="1:18" s="5" customFormat="1" ht="15" hidden="1" customHeight="1" outlineLevel="2">
      <c r="A213" s="33" t="s">
        <v>136</v>
      </c>
      <c r="B213" s="42"/>
      <c r="C213" s="107">
        <v>410209</v>
      </c>
      <c r="D213" s="14" t="s">
        <v>268</v>
      </c>
      <c r="E213" s="313"/>
      <c r="F213" s="278">
        <v>0</v>
      </c>
      <c r="G213" s="298">
        <v>0</v>
      </c>
      <c r="H213" s="215">
        <v>0</v>
      </c>
      <c r="I213" s="215">
        <v>0</v>
      </c>
      <c r="J213" s="215">
        <v>0</v>
      </c>
      <c r="K213" s="215">
        <f>I213+J213</f>
        <v>0</v>
      </c>
      <c r="L213" s="411">
        <v>0</v>
      </c>
      <c r="M213" s="139"/>
      <c r="N213" s="139"/>
      <c r="O213" s="215">
        <f>M213+N213</f>
        <v>0</v>
      </c>
      <c r="P213" s="270">
        <v>0</v>
      </c>
      <c r="Q213" s="270">
        <v>0</v>
      </c>
      <c r="R213" s="270">
        <v>0</v>
      </c>
    </row>
    <row r="214" spans="1:18" s="5" customFormat="1" ht="15" hidden="1" customHeight="1" outlineLevel="2">
      <c r="A214" s="33" t="s">
        <v>136</v>
      </c>
      <c r="B214" s="42"/>
      <c r="C214" s="107">
        <v>410288</v>
      </c>
      <c r="D214" s="67" t="s">
        <v>35</v>
      </c>
      <c r="E214" s="85"/>
      <c r="F214" s="280">
        <v>10000</v>
      </c>
      <c r="G214" s="300">
        <v>6904</v>
      </c>
      <c r="H214" s="217">
        <v>0</v>
      </c>
      <c r="I214" s="217">
        <v>0</v>
      </c>
      <c r="J214" s="217">
        <v>0</v>
      </c>
      <c r="K214" s="217">
        <f>I214+J214</f>
        <v>0</v>
      </c>
      <c r="L214" s="532">
        <v>0</v>
      </c>
      <c r="M214" s="217"/>
      <c r="N214" s="217"/>
      <c r="O214" s="217">
        <f>M214+N214</f>
        <v>0</v>
      </c>
      <c r="P214" s="365">
        <v>0</v>
      </c>
      <c r="Q214" s="365">
        <v>0</v>
      </c>
      <c r="R214" s="365">
        <v>0</v>
      </c>
    </row>
    <row r="215" spans="1:18" s="5" customFormat="1" ht="12.75" hidden="1" customHeight="1" outlineLevel="2">
      <c r="A215" s="50" t="s">
        <v>2</v>
      </c>
      <c r="B215" s="42" t="s">
        <v>165</v>
      </c>
      <c r="C215" s="130">
        <v>410299</v>
      </c>
      <c r="D215" s="11" t="s">
        <v>42</v>
      </c>
      <c r="E215" s="50"/>
      <c r="F215" s="277">
        <f t="shared" ref="F215:G215" si="229">SUM(F211:F214)</f>
        <v>23000</v>
      </c>
      <c r="G215" s="296">
        <f t="shared" si="229"/>
        <v>12613</v>
      </c>
      <c r="H215" s="223">
        <f t="shared" ref="H215:J215" si="230">SUM(H211:H214)</f>
        <v>6500</v>
      </c>
      <c r="I215" s="223">
        <f t="shared" si="230"/>
        <v>0</v>
      </c>
      <c r="J215" s="223">
        <f t="shared" si="230"/>
        <v>0</v>
      </c>
      <c r="K215" s="223">
        <f>I215+J215</f>
        <v>0</v>
      </c>
      <c r="L215" s="531">
        <f t="shared" ref="L215:P215" si="231">SUM(L211:L214)</f>
        <v>5000</v>
      </c>
      <c r="M215" s="223">
        <f t="shared" si="231"/>
        <v>0</v>
      </c>
      <c r="N215" s="252">
        <f t="shared" si="231"/>
        <v>0</v>
      </c>
      <c r="O215" s="223">
        <f>M215+N215</f>
        <v>0</v>
      </c>
      <c r="P215" s="271">
        <f t="shared" si="231"/>
        <v>5000</v>
      </c>
      <c r="Q215" s="271">
        <f t="shared" ref="Q215:R215" si="232">SUM(Q211:Q214)</f>
        <v>5000</v>
      </c>
      <c r="R215" s="271">
        <f t="shared" si="232"/>
        <v>5000</v>
      </c>
    </row>
    <row r="216" spans="1:18" s="5" customFormat="1" ht="9" hidden="1" customHeight="1" outlineLevel="1">
      <c r="A216" s="50"/>
      <c r="B216" s="42"/>
      <c r="C216" s="107"/>
      <c r="D216" s="11"/>
      <c r="E216" s="50"/>
      <c r="F216" s="277"/>
      <c r="G216" s="296"/>
      <c r="H216" s="215"/>
      <c r="I216" s="215"/>
      <c r="J216" s="215"/>
      <c r="K216" s="215"/>
      <c r="L216" s="411"/>
      <c r="M216" s="139"/>
      <c r="N216" s="139"/>
      <c r="O216" s="139"/>
      <c r="P216" s="270"/>
      <c r="Q216" s="270"/>
      <c r="R216" s="270"/>
    </row>
    <row r="217" spans="1:18" s="5" customFormat="1" hidden="1" outlineLevel="1">
      <c r="A217" s="50" t="s">
        <v>2</v>
      </c>
      <c r="B217" s="44">
        <v>7199</v>
      </c>
      <c r="C217" s="130">
        <v>419999</v>
      </c>
      <c r="D217" s="11" t="s">
        <v>169</v>
      </c>
      <c r="E217" s="417"/>
      <c r="F217" s="277">
        <f>F215+F209</f>
        <v>105000</v>
      </c>
      <c r="G217" s="296">
        <f>G209+G215</f>
        <v>150002</v>
      </c>
      <c r="H217" s="223">
        <f>H215+H209</f>
        <v>127000</v>
      </c>
      <c r="I217" s="223">
        <f>I215+I209</f>
        <v>179412</v>
      </c>
      <c r="J217" s="223">
        <f>J215+J209</f>
        <v>0</v>
      </c>
      <c r="K217" s="215">
        <f>I217+J217</f>
        <v>179412</v>
      </c>
      <c r="L217" s="531">
        <f>L215+L209</f>
        <v>189250</v>
      </c>
      <c r="M217" s="252"/>
      <c r="N217" s="252"/>
      <c r="O217" s="252"/>
      <c r="P217" s="271">
        <f>P215+P209</f>
        <v>135250</v>
      </c>
      <c r="Q217" s="271">
        <f>Q215+Q209</f>
        <v>136250</v>
      </c>
      <c r="R217" s="271">
        <f>R215+R209</f>
        <v>156250</v>
      </c>
    </row>
    <row r="218" spans="1:18" ht="12.75" customHeight="1">
      <c r="A218" s="33" t="s">
        <v>0</v>
      </c>
      <c r="B218" s="41"/>
      <c r="C218" s="130">
        <v>500000</v>
      </c>
      <c r="D218" s="34" t="s">
        <v>133</v>
      </c>
      <c r="E218" s="423"/>
      <c r="F218" s="278">
        <f>F219+F279+F332</f>
        <v>1262938.6666666665</v>
      </c>
      <c r="G218" s="298">
        <f>G219+G279+G332</f>
        <v>1180351</v>
      </c>
      <c r="H218" s="215">
        <f>H219+H279+H332</f>
        <v>1280827</v>
      </c>
      <c r="I218" s="215">
        <f>I219+I279+I332</f>
        <v>1184882</v>
      </c>
      <c r="J218" s="215">
        <f>J219+J279+J332</f>
        <v>0</v>
      </c>
      <c r="K218" s="215">
        <f>I218+J218</f>
        <v>1184882</v>
      </c>
      <c r="L218" s="533">
        <f>L219+L279+L332+L336</f>
        <v>2120969</v>
      </c>
      <c r="M218" s="215">
        <f>M219+M279+M332</f>
        <v>0</v>
      </c>
      <c r="N218" s="139">
        <f>N219+N279+N332</f>
        <v>0</v>
      </c>
      <c r="O218" s="215">
        <f>M218+N218</f>
        <v>0</v>
      </c>
      <c r="P218" s="363">
        <f>P219+P279+P332+P336</f>
        <v>2010969</v>
      </c>
      <c r="Q218" s="363">
        <f>Q219+Q279+Q332+Q336</f>
        <v>1988969</v>
      </c>
      <c r="R218" s="363">
        <f>R219+R279+R332+R336</f>
        <v>1981969</v>
      </c>
    </row>
    <row r="219" spans="1:18" outlineLevel="1">
      <c r="A219" s="33" t="s">
        <v>0</v>
      </c>
      <c r="B219" s="41"/>
      <c r="C219" s="407">
        <v>519999</v>
      </c>
      <c r="D219" s="405" t="s">
        <v>407</v>
      </c>
      <c r="E219" s="427"/>
      <c r="F219" s="278">
        <f t="shared" ref="F219" si="233">F233+F238</f>
        <v>654800</v>
      </c>
      <c r="G219" s="298">
        <f t="shared" ref="G219" si="234">G233+G238</f>
        <v>637480</v>
      </c>
      <c r="H219" s="215">
        <f t="shared" ref="H219:J219" si="235">H233+H238</f>
        <v>675700</v>
      </c>
      <c r="I219" s="215">
        <f t="shared" si="235"/>
        <v>659931</v>
      </c>
      <c r="J219" s="215">
        <f t="shared" si="235"/>
        <v>0</v>
      </c>
      <c r="K219" s="215">
        <f>I219+J219</f>
        <v>659931</v>
      </c>
      <c r="L219" s="533">
        <f>L277</f>
        <v>983750</v>
      </c>
      <c r="M219" s="215">
        <f t="shared" ref="M219:N219" si="236">M233+M238</f>
        <v>0</v>
      </c>
      <c r="N219" s="139">
        <f t="shared" si="236"/>
        <v>0</v>
      </c>
      <c r="O219" s="215">
        <f>M219+N219</f>
        <v>0</v>
      </c>
      <c r="P219" s="363">
        <f>P277</f>
        <v>924750</v>
      </c>
      <c r="Q219" s="363">
        <f>Q277</f>
        <v>902750</v>
      </c>
      <c r="R219" s="363">
        <f>R277</f>
        <v>895750</v>
      </c>
    </row>
    <row r="220" spans="1:18" s="5" customFormat="1" ht="9" customHeight="1" outlineLevel="2">
      <c r="A220" s="50"/>
      <c r="B220" s="41"/>
      <c r="C220" s="107"/>
      <c r="D220" s="11"/>
      <c r="E220" s="50"/>
      <c r="F220" s="278"/>
      <c r="G220" s="298"/>
      <c r="H220" s="215"/>
      <c r="I220" s="6"/>
      <c r="J220" s="6"/>
      <c r="K220" s="213"/>
      <c r="L220" s="411"/>
      <c r="M220" s="139"/>
      <c r="N220" s="139"/>
      <c r="O220" s="139"/>
      <c r="P220" s="270"/>
      <c r="Q220" s="270"/>
      <c r="R220" s="270"/>
    </row>
    <row r="221" spans="1:18" outlineLevel="2" collapsed="1">
      <c r="A221" s="33" t="s">
        <v>0</v>
      </c>
      <c r="B221" s="41"/>
      <c r="C221" s="130">
        <v>510100</v>
      </c>
      <c r="D221" s="61" t="s">
        <v>416</v>
      </c>
      <c r="E221" s="384" t="s">
        <v>440</v>
      </c>
      <c r="F221" s="279"/>
      <c r="G221" s="299"/>
      <c r="H221" s="213">
        <f t="shared" ref="H221:R221" si="237">H233</f>
        <v>560700</v>
      </c>
      <c r="I221" s="213">
        <f t="shared" si="237"/>
        <v>544931</v>
      </c>
      <c r="J221" s="213">
        <f t="shared" si="237"/>
        <v>0</v>
      </c>
      <c r="K221" s="213">
        <f t="shared" si="237"/>
        <v>544931</v>
      </c>
      <c r="L221" s="525">
        <f t="shared" si="237"/>
        <v>0</v>
      </c>
      <c r="M221" s="508"/>
      <c r="N221" s="508"/>
      <c r="O221" s="508"/>
      <c r="P221" s="402">
        <f t="shared" si="237"/>
        <v>0</v>
      </c>
      <c r="Q221" s="402">
        <f t="shared" si="237"/>
        <v>0</v>
      </c>
      <c r="R221" s="402">
        <f t="shared" si="237"/>
        <v>0</v>
      </c>
    </row>
    <row r="222" spans="1:18" hidden="1" outlineLevel="3">
      <c r="A222" s="33" t="s">
        <v>136</v>
      </c>
      <c r="B222" s="41">
        <v>5200</v>
      </c>
      <c r="C222" s="107">
        <v>510101</v>
      </c>
      <c r="D222" s="14" t="s">
        <v>89</v>
      </c>
      <c r="E222" s="50"/>
      <c r="F222" s="278">
        <v>356000</v>
      </c>
      <c r="G222" s="299">
        <v>359083</v>
      </c>
      <c r="H222" s="215">
        <v>360000</v>
      </c>
      <c r="I222" s="213">
        <v>352834</v>
      </c>
      <c r="J222" s="354">
        <v>0</v>
      </c>
      <c r="K222" s="215">
        <f t="shared" ref="K222:K233" si="238">I222+J222</f>
        <v>352834</v>
      </c>
      <c r="L222" s="411"/>
      <c r="M222" s="139"/>
      <c r="N222" s="139"/>
      <c r="O222" s="139"/>
      <c r="P222" s="270"/>
      <c r="Q222" s="270"/>
      <c r="R222" s="270"/>
    </row>
    <row r="223" spans="1:18" hidden="1" outlineLevel="3">
      <c r="A223" s="33" t="s">
        <v>136</v>
      </c>
      <c r="B223" s="44">
        <v>5202</v>
      </c>
      <c r="C223" s="133">
        <v>510102</v>
      </c>
      <c r="D223" s="67" t="s">
        <v>131</v>
      </c>
      <c r="E223" s="182"/>
      <c r="F223" s="279">
        <v>79000</v>
      </c>
      <c r="G223" s="299">
        <v>82000</v>
      </c>
      <c r="H223" s="215">
        <v>83000</v>
      </c>
      <c r="I223" s="213">
        <v>90000</v>
      </c>
      <c r="J223" s="170">
        <v>0</v>
      </c>
      <c r="K223" s="215">
        <f t="shared" si="238"/>
        <v>90000</v>
      </c>
      <c r="L223" s="411"/>
      <c r="M223" s="139"/>
      <c r="N223" s="139"/>
      <c r="O223" s="139"/>
      <c r="P223" s="270"/>
      <c r="Q223" s="270"/>
      <c r="R223" s="270"/>
    </row>
    <row r="224" spans="1:18" hidden="1" outlineLevel="3">
      <c r="A224" s="33" t="s">
        <v>136</v>
      </c>
      <c r="B224" s="41">
        <v>5205</v>
      </c>
      <c r="C224" s="107">
        <v>510103</v>
      </c>
      <c r="D224" s="67" t="s">
        <v>400</v>
      </c>
      <c r="E224" s="50"/>
      <c r="F224" s="278">
        <v>35000</v>
      </c>
      <c r="G224" s="298">
        <v>8465</v>
      </c>
      <c r="H224" s="213">
        <v>45000</v>
      </c>
      <c r="I224" s="213">
        <v>15407</v>
      </c>
      <c r="J224" s="170">
        <v>0</v>
      </c>
      <c r="K224" s="215">
        <f t="shared" si="238"/>
        <v>15407</v>
      </c>
      <c r="L224" s="411"/>
      <c r="M224" s="139"/>
      <c r="N224" s="139"/>
      <c r="O224" s="139"/>
      <c r="P224" s="270"/>
      <c r="Q224" s="270"/>
      <c r="R224" s="270"/>
    </row>
    <row r="225" spans="1:18" hidden="1" outlineLevel="3">
      <c r="A225" s="33" t="s">
        <v>136</v>
      </c>
      <c r="B225" s="41">
        <v>5210</v>
      </c>
      <c r="C225" s="107">
        <v>510104</v>
      </c>
      <c r="D225" s="67" t="s">
        <v>189</v>
      </c>
      <c r="E225" s="50"/>
      <c r="F225" s="278">
        <v>1200</v>
      </c>
      <c r="G225" s="299">
        <v>9301</v>
      </c>
      <c r="H225" s="213">
        <v>2700</v>
      </c>
      <c r="I225" s="213">
        <v>1436</v>
      </c>
      <c r="J225" s="213">
        <v>0</v>
      </c>
      <c r="K225" s="215">
        <f t="shared" si="238"/>
        <v>1436</v>
      </c>
      <c r="L225" s="411"/>
      <c r="M225" s="139"/>
      <c r="N225" s="139"/>
      <c r="O225" s="139"/>
      <c r="P225" s="270"/>
      <c r="Q225" s="270"/>
      <c r="R225" s="270"/>
    </row>
    <row r="226" spans="1:18" hidden="1" outlineLevel="3">
      <c r="A226" s="33" t="s">
        <v>136</v>
      </c>
      <c r="B226" s="44">
        <v>5212</v>
      </c>
      <c r="C226" s="107">
        <v>510105</v>
      </c>
      <c r="D226" s="67" t="s">
        <v>140</v>
      </c>
      <c r="E226" s="107"/>
      <c r="F226" s="278">
        <f>5000+25000</f>
        <v>30000</v>
      </c>
      <c r="G226" s="299">
        <v>36867</v>
      </c>
      <c r="H226" s="215">
        <v>39000</v>
      </c>
      <c r="I226" s="213">
        <v>40338</v>
      </c>
      <c r="J226" s="215">
        <v>0</v>
      </c>
      <c r="K226" s="215">
        <f t="shared" si="238"/>
        <v>40338</v>
      </c>
      <c r="L226" s="411"/>
      <c r="M226" s="139"/>
      <c r="N226" s="139"/>
      <c r="O226" s="139"/>
      <c r="P226" s="270"/>
      <c r="Q226" s="270"/>
      <c r="R226" s="270"/>
    </row>
    <row r="227" spans="1:18" hidden="1" outlineLevel="3">
      <c r="A227" s="33" t="s">
        <v>136</v>
      </c>
      <c r="B227" s="44">
        <v>5216</v>
      </c>
      <c r="C227" s="107">
        <v>510106</v>
      </c>
      <c r="D227" s="67" t="s">
        <v>113</v>
      </c>
      <c r="E227" s="107"/>
      <c r="F227" s="278">
        <v>13800</v>
      </c>
      <c r="G227" s="299">
        <v>9077</v>
      </c>
      <c r="H227" s="213">
        <v>9000</v>
      </c>
      <c r="I227" s="213">
        <v>12083</v>
      </c>
      <c r="J227" s="213">
        <v>0</v>
      </c>
      <c r="K227" s="215">
        <f t="shared" si="238"/>
        <v>12083</v>
      </c>
      <c r="L227" s="411"/>
      <c r="M227" s="139"/>
      <c r="N227" s="139"/>
      <c r="O227" s="139"/>
      <c r="P227" s="270"/>
      <c r="Q227" s="270"/>
      <c r="R227" s="270"/>
    </row>
    <row r="228" spans="1:18" hidden="1" outlineLevel="3">
      <c r="A228" s="33" t="s">
        <v>136</v>
      </c>
      <c r="B228" s="41">
        <v>5218</v>
      </c>
      <c r="C228" s="107">
        <v>510107</v>
      </c>
      <c r="D228" s="67" t="s">
        <v>114</v>
      </c>
      <c r="E228" s="50"/>
      <c r="F228" s="278">
        <v>5000</v>
      </c>
      <c r="G228" s="299">
        <v>5296</v>
      </c>
      <c r="H228" s="354">
        <v>12000</v>
      </c>
      <c r="I228" s="213">
        <v>11645</v>
      </c>
      <c r="J228" s="213">
        <v>0</v>
      </c>
      <c r="K228" s="215">
        <f t="shared" si="238"/>
        <v>11645</v>
      </c>
      <c r="L228" s="411"/>
      <c r="M228" s="139"/>
      <c r="N228" s="139"/>
      <c r="O228" s="139"/>
      <c r="P228" s="270"/>
      <c r="Q228" s="270"/>
      <c r="R228" s="270"/>
    </row>
    <row r="229" spans="1:18" hidden="1" outlineLevel="3">
      <c r="A229" s="33" t="s">
        <v>136</v>
      </c>
      <c r="B229" s="41">
        <v>5220</v>
      </c>
      <c r="C229" s="107">
        <v>510108</v>
      </c>
      <c r="D229" s="67" t="s">
        <v>116</v>
      </c>
      <c r="E229" s="50"/>
      <c r="F229" s="278">
        <v>0</v>
      </c>
      <c r="G229" s="298">
        <v>0</v>
      </c>
      <c r="H229" s="213">
        <v>0</v>
      </c>
      <c r="I229" s="213">
        <v>7285</v>
      </c>
      <c r="J229" s="213">
        <v>0</v>
      </c>
      <c r="K229" s="215">
        <f t="shared" si="238"/>
        <v>7285</v>
      </c>
      <c r="L229" s="533"/>
      <c r="M229" s="145"/>
      <c r="N229" s="145"/>
      <c r="O229" s="145"/>
      <c r="P229" s="363"/>
      <c r="Q229" s="363"/>
      <c r="R229" s="363"/>
    </row>
    <row r="230" spans="1:18" hidden="1" outlineLevel="3">
      <c r="A230" s="33" t="s">
        <v>136</v>
      </c>
      <c r="B230" s="41">
        <v>5221</v>
      </c>
      <c r="C230" s="107">
        <v>510109</v>
      </c>
      <c r="D230" s="199" t="s">
        <v>117</v>
      </c>
      <c r="E230" s="138"/>
      <c r="F230" s="278">
        <v>0</v>
      </c>
      <c r="G230" s="298">
        <v>0</v>
      </c>
      <c r="H230" s="213">
        <v>0</v>
      </c>
      <c r="I230" s="213">
        <v>318</v>
      </c>
      <c r="J230" s="213">
        <v>0</v>
      </c>
      <c r="K230" s="215">
        <f t="shared" si="238"/>
        <v>318</v>
      </c>
      <c r="L230" s="411"/>
      <c r="M230" s="139"/>
      <c r="N230" s="139"/>
      <c r="O230" s="139"/>
      <c r="P230" s="270"/>
      <c r="Q230" s="270"/>
      <c r="R230" s="270"/>
    </row>
    <row r="231" spans="1:18" hidden="1" outlineLevel="3">
      <c r="A231" s="33" t="s">
        <v>136</v>
      </c>
      <c r="B231" s="41">
        <v>5224</v>
      </c>
      <c r="C231" s="107">
        <v>510110</v>
      </c>
      <c r="D231" s="199" t="s">
        <v>115</v>
      </c>
      <c r="E231" s="377" t="s">
        <v>405</v>
      </c>
      <c r="F231" s="278">
        <v>5800</v>
      </c>
      <c r="G231" s="298">
        <v>2297</v>
      </c>
      <c r="H231" s="213">
        <v>10000</v>
      </c>
      <c r="I231" s="213">
        <v>13585</v>
      </c>
      <c r="J231" s="213">
        <v>0</v>
      </c>
      <c r="K231" s="215">
        <f t="shared" si="238"/>
        <v>13585</v>
      </c>
      <c r="L231" s="411"/>
      <c r="M231" s="139"/>
      <c r="N231" s="139"/>
      <c r="O231" s="139"/>
      <c r="P231" s="270"/>
      <c r="Q231" s="270"/>
      <c r="R231" s="270"/>
    </row>
    <row r="232" spans="1:18" hidden="1" outlineLevel="3">
      <c r="A232" s="33" t="s">
        <v>136</v>
      </c>
      <c r="B232" s="44">
        <v>5228</v>
      </c>
      <c r="C232" s="107">
        <v>510111</v>
      </c>
      <c r="D232" s="199" t="s">
        <v>118</v>
      </c>
      <c r="E232" s="140"/>
      <c r="F232" s="280">
        <v>4000</v>
      </c>
      <c r="G232" s="300">
        <v>94</v>
      </c>
      <c r="H232" s="217">
        <v>0</v>
      </c>
      <c r="I232" s="216">
        <v>0</v>
      </c>
      <c r="J232" s="216">
        <v>0</v>
      </c>
      <c r="K232" s="217">
        <f t="shared" si="238"/>
        <v>0</v>
      </c>
      <c r="L232" s="532"/>
      <c r="M232" s="217"/>
      <c r="N232" s="217"/>
      <c r="O232" s="217"/>
      <c r="P232" s="365"/>
      <c r="Q232" s="365"/>
      <c r="R232" s="365"/>
    </row>
    <row r="233" spans="1:18" hidden="1" outlineLevel="3">
      <c r="A233" s="33" t="s">
        <v>2</v>
      </c>
      <c r="B233" s="44">
        <v>5229</v>
      </c>
      <c r="C233" s="130">
        <v>510199</v>
      </c>
      <c r="D233" s="200" t="s">
        <v>141</v>
      </c>
      <c r="E233" s="138"/>
      <c r="F233" s="278">
        <f t="shared" ref="F233" si="239">SUM(F222:F232)</f>
        <v>529800</v>
      </c>
      <c r="G233" s="298">
        <f>SUM(G222:G232)</f>
        <v>512480</v>
      </c>
      <c r="H233" s="139">
        <f>SUM(H222:H232)</f>
        <v>560700</v>
      </c>
      <c r="I233" s="139">
        <f t="shared" ref="I233:J233" si="240">SUM(I222:I232)</f>
        <v>544931</v>
      </c>
      <c r="J233" s="139">
        <f t="shared" si="240"/>
        <v>0</v>
      </c>
      <c r="K233" s="215">
        <f t="shared" si="238"/>
        <v>544931</v>
      </c>
      <c r="L233" s="542">
        <f>SUM(L222:L232)</f>
        <v>0</v>
      </c>
      <c r="M233" s="509"/>
      <c r="N233" s="509"/>
      <c r="O233" s="509"/>
      <c r="P233" s="378">
        <f>SUM(P222:P232)</f>
        <v>0</v>
      </c>
      <c r="Q233" s="378">
        <f>SUM(Q222:Q232)</f>
        <v>0</v>
      </c>
      <c r="R233" s="378">
        <f>SUM(R222:R232)</f>
        <v>0</v>
      </c>
    </row>
    <row r="234" spans="1:18" ht="5.0999999999999996" customHeight="1" outlineLevel="2">
      <c r="B234" s="41"/>
      <c r="C234" s="107"/>
      <c r="D234" s="67"/>
      <c r="E234" s="50"/>
      <c r="F234" s="278"/>
      <c r="G234" s="303"/>
      <c r="H234" s="215"/>
      <c r="I234" s="213"/>
      <c r="J234" s="213"/>
      <c r="K234" s="215"/>
      <c r="L234" s="411"/>
      <c r="M234" s="139"/>
      <c r="N234" s="139"/>
      <c r="O234" s="139"/>
      <c r="P234" s="270"/>
      <c r="Q234" s="270"/>
      <c r="R234" s="270"/>
    </row>
    <row r="235" spans="1:18" outlineLevel="2" collapsed="1">
      <c r="A235" s="33" t="s">
        <v>0</v>
      </c>
      <c r="B235" s="41"/>
      <c r="C235" s="130">
        <v>510200</v>
      </c>
      <c r="D235" s="61" t="s">
        <v>455</v>
      </c>
      <c r="E235" s="384" t="s">
        <v>440</v>
      </c>
      <c r="F235" s="278"/>
      <c r="G235" s="303"/>
      <c r="H235" s="213">
        <f t="shared" ref="H235:R235" si="241">H238</f>
        <v>115000</v>
      </c>
      <c r="I235" s="213">
        <f t="shared" si="241"/>
        <v>115000</v>
      </c>
      <c r="J235" s="213">
        <f t="shared" si="241"/>
        <v>0</v>
      </c>
      <c r="K235" s="215">
        <f t="shared" si="241"/>
        <v>115000</v>
      </c>
      <c r="L235" s="537">
        <f t="shared" si="241"/>
        <v>0</v>
      </c>
      <c r="M235" s="510"/>
      <c r="N235" s="510"/>
      <c r="O235" s="510"/>
      <c r="P235" s="401">
        <f t="shared" si="241"/>
        <v>0</v>
      </c>
      <c r="Q235" s="401">
        <f t="shared" si="241"/>
        <v>0</v>
      </c>
      <c r="R235" s="401">
        <f t="shared" si="241"/>
        <v>0</v>
      </c>
    </row>
    <row r="236" spans="1:18" hidden="1" outlineLevel="3">
      <c r="A236" s="33" t="s">
        <v>136</v>
      </c>
      <c r="B236" s="41">
        <v>30020</v>
      </c>
      <c r="C236" s="107">
        <v>510201</v>
      </c>
      <c r="D236" s="14" t="s">
        <v>156</v>
      </c>
      <c r="E236" s="73"/>
      <c r="F236" s="278">
        <v>125000</v>
      </c>
      <c r="G236" s="298">
        <v>58814</v>
      </c>
      <c r="H236" s="215">
        <v>48000</v>
      </c>
      <c r="I236" s="213">
        <v>48883</v>
      </c>
      <c r="J236" s="213">
        <v>0</v>
      </c>
      <c r="K236" s="215">
        <f>I236+J236</f>
        <v>48883</v>
      </c>
      <c r="L236" s="411">
        <v>0</v>
      </c>
      <c r="M236" s="139"/>
      <c r="N236" s="139"/>
      <c r="O236" s="139"/>
      <c r="P236" s="270">
        <v>0</v>
      </c>
      <c r="Q236" s="270">
        <v>0</v>
      </c>
      <c r="R236" s="270">
        <v>0</v>
      </c>
    </row>
    <row r="237" spans="1:18" hidden="1" outlineLevel="3">
      <c r="A237" s="33" t="s">
        <v>136</v>
      </c>
      <c r="B237" s="41">
        <v>20001</v>
      </c>
      <c r="C237" s="107">
        <v>510202</v>
      </c>
      <c r="D237" s="12" t="s">
        <v>132</v>
      </c>
      <c r="F237" s="280">
        <v>0</v>
      </c>
      <c r="G237" s="300">
        <v>66186</v>
      </c>
      <c r="H237" s="217">
        <v>67000</v>
      </c>
      <c r="I237" s="216">
        <v>66117</v>
      </c>
      <c r="J237" s="216">
        <v>0</v>
      </c>
      <c r="K237" s="217">
        <f>I237+J237</f>
        <v>66117</v>
      </c>
      <c r="L237" s="532">
        <v>0</v>
      </c>
      <c r="M237" s="217"/>
      <c r="N237" s="217"/>
      <c r="O237" s="217"/>
      <c r="P237" s="365">
        <v>0</v>
      </c>
      <c r="Q237" s="365">
        <v>0</v>
      </c>
      <c r="R237" s="365">
        <v>0</v>
      </c>
    </row>
    <row r="238" spans="1:18" hidden="1" outlineLevel="3">
      <c r="A238" s="33" t="s">
        <v>2</v>
      </c>
      <c r="B238" s="44">
        <v>30029</v>
      </c>
      <c r="C238" s="130">
        <v>510299</v>
      </c>
      <c r="D238" s="16" t="s">
        <v>155</v>
      </c>
      <c r="E238" s="73"/>
      <c r="F238" s="277">
        <f t="shared" ref="F238:G238" si="242">SUM(F235:F237)</f>
        <v>125000</v>
      </c>
      <c r="G238" s="296">
        <f t="shared" si="242"/>
        <v>125000</v>
      </c>
      <c r="H238" s="223">
        <f>SUM(H236:H237)</f>
        <v>115000</v>
      </c>
      <c r="I238" s="223">
        <f>SUM(I236:I237)</f>
        <v>115000</v>
      </c>
      <c r="J238" s="223">
        <f>SUM(J236:J237)</f>
        <v>0</v>
      </c>
      <c r="K238" s="215">
        <f>I238+J238</f>
        <v>115000</v>
      </c>
      <c r="L238" s="531">
        <f>SUM(L236:L237)</f>
        <v>0</v>
      </c>
      <c r="M238" s="252"/>
      <c r="N238" s="252"/>
      <c r="O238" s="252"/>
      <c r="P238" s="271">
        <f>SUM(P236:P237)</f>
        <v>0</v>
      </c>
      <c r="Q238" s="271">
        <f>SUM(Q236:Q237)</f>
        <v>0</v>
      </c>
      <c r="R238" s="271">
        <f>SUM(R236:R237)</f>
        <v>0</v>
      </c>
    </row>
    <row r="239" spans="1:18" ht="5.0999999999999996" customHeight="1" outlineLevel="2">
      <c r="B239" s="44"/>
      <c r="C239" s="130"/>
      <c r="D239" s="16"/>
      <c r="E239" s="73"/>
      <c r="F239" s="277"/>
      <c r="G239" s="296"/>
      <c r="H239" s="223"/>
      <c r="I239" s="223"/>
      <c r="J239" s="223"/>
      <c r="K239" s="215"/>
      <c r="L239" s="531"/>
      <c r="M239" s="252"/>
      <c r="N239" s="252"/>
      <c r="O239" s="252"/>
      <c r="P239" s="271"/>
      <c r="Q239" s="271"/>
      <c r="R239" s="271"/>
    </row>
    <row r="240" spans="1:18" outlineLevel="2">
      <c r="B240" s="44"/>
      <c r="C240" s="130">
        <v>511000</v>
      </c>
      <c r="D240" s="34" t="s">
        <v>417</v>
      </c>
      <c r="E240" s="433" t="s">
        <v>464</v>
      </c>
      <c r="F240" s="277"/>
      <c r="G240" s="296"/>
      <c r="H240" s="215"/>
      <c r="I240" s="215"/>
      <c r="J240" s="215"/>
      <c r="K240" s="215"/>
      <c r="L240" s="537">
        <f t="shared" ref="L240:R240" si="243">L277</f>
        <v>983750</v>
      </c>
      <c r="M240" s="215">
        <f t="shared" si="243"/>
        <v>0</v>
      </c>
      <c r="N240" s="139">
        <f t="shared" si="243"/>
        <v>0</v>
      </c>
      <c r="O240" s="215">
        <f t="shared" si="243"/>
        <v>0</v>
      </c>
      <c r="P240" s="401">
        <f t="shared" si="243"/>
        <v>924750</v>
      </c>
      <c r="Q240" s="401">
        <f t="shared" si="243"/>
        <v>902750</v>
      </c>
      <c r="R240" s="401">
        <f t="shared" si="243"/>
        <v>895750</v>
      </c>
    </row>
    <row r="241" spans="2:20" ht="9" customHeight="1" outlineLevel="3">
      <c r="B241" s="44"/>
      <c r="C241" s="130"/>
      <c r="D241" s="16"/>
      <c r="E241" s="73"/>
      <c r="F241" s="277"/>
      <c r="G241" s="296"/>
      <c r="H241" s="223"/>
      <c r="I241" s="223"/>
      <c r="J241" s="223"/>
      <c r="K241" s="215"/>
      <c r="L241" s="531"/>
      <c r="M241" s="252"/>
      <c r="N241" s="252"/>
      <c r="O241" s="252"/>
      <c r="P241" s="271"/>
      <c r="Q241" s="271"/>
      <c r="R241" s="271"/>
    </row>
    <row r="242" spans="2:20" outlineLevel="3">
      <c r="B242" s="44"/>
      <c r="C242" s="130">
        <v>511100</v>
      </c>
      <c r="D242" s="34" t="s">
        <v>415</v>
      </c>
      <c r="E242" s="385"/>
      <c r="F242" s="277"/>
      <c r="G242" s="296"/>
      <c r="H242" s="223"/>
      <c r="I242" s="223"/>
      <c r="J242" s="410"/>
      <c r="K242" s="410" t="s">
        <v>466</v>
      </c>
      <c r="L242" s="537">
        <f t="shared" ref="L242:R242" si="244">L250</f>
        <v>716750</v>
      </c>
      <c r="M242" s="139">
        <f t="shared" si="244"/>
        <v>0</v>
      </c>
      <c r="N242" s="139">
        <f t="shared" si="244"/>
        <v>0</v>
      </c>
      <c r="O242" s="139">
        <f t="shared" si="244"/>
        <v>0</v>
      </c>
      <c r="P242" s="401">
        <f t="shared" si="244"/>
        <v>645750</v>
      </c>
      <c r="Q242" s="401">
        <f t="shared" si="244"/>
        <v>623750</v>
      </c>
      <c r="R242" s="401">
        <f t="shared" si="244"/>
        <v>616750</v>
      </c>
      <c r="T242" s="127" t="s">
        <v>433</v>
      </c>
    </row>
    <row r="243" spans="2:20" outlineLevel="4">
      <c r="B243" s="44"/>
      <c r="C243" s="107">
        <v>511101</v>
      </c>
      <c r="D243" s="14" t="s">
        <v>89</v>
      </c>
      <c r="E243" s="73"/>
      <c r="F243" s="277"/>
      <c r="G243" s="296"/>
      <c r="H243" s="223"/>
      <c r="I243" s="223"/>
      <c r="J243" s="410"/>
      <c r="K243" s="215"/>
      <c r="L243" s="533">
        <v>300000</v>
      </c>
      <c r="M243" s="145"/>
      <c r="N243" s="145"/>
      <c r="O243" s="145">
        <f t="shared" ref="O243:O250" si="245">M243+N243</f>
        <v>0</v>
      </c>
      <c r="P243" s="363">
        <v>300000</v>
      </c>
      <c r="Q243" s="363">
        <v>300000</v>
      </c>
      <c r="R243" s="363">
        <v>300000</v>
      </c>
      <c r="T243" s="387" t="s">
        <v>423</v>
      </c>
    </row>
    <row r="244" spans="2:20" outlineLevel="4">
      <c r="B244" s="44"/>
      <c r="C244" s="107">
        <v>511102</v>
      </c>
      <c r="D244" s="67" t="s">
        <v>131</v>
      </c>
      <c r="E244" s="73"/>
      <c r="F244" s="277"/>
      <c r="G244" s="296"/>
      <c r="H244" s="223"/>
      <c r="I244" s="223"/>
      <c r="J244" s="410"/>
      <c r="K244" s="215"/>
      <c r="L244" s="543">
        <v>230000</v>
      </c>
      <c r="M244" s="511"/>
      <c r="N244" s="511"/>
      <c r="O244" s="511">
        <f t="shared" si="245"/>
        <v>0</v>
      </c>
      <c r="P244" s="392">
        <v>230000</v>
      </c>
      <c r="Q244" s="392">
        <v>230000</v>
      </c>
      <c r="R244" s="392">
        <v>230000</v>
      </c>
      <c r="S244" s="386"/>
      <c r="T244" s="393">
        <f>L244+L253+L266</f>
        <v>290000</v>
      </c>
    </row>
    <row r="245" spans="2:20" outlineLevel="4">
      <c r="B245" s="44"/>
      <c r="C245" s="107">
        <v>511103</v>
      </c>
      <c r="D245" s="12" t="s">
        <v>418</v>
      </c>
      <c r="E245" s="73"/>
      <c r="F245" s="277"/>
      <c r="G245" s="296"/>
      <c r="H245" s="223"/>
      <c r="I245" s="223"/>
      <c r="J245" s="223"/>
      <c r="K245" s="215"/>
      <c r="L245" s="528">
        <v>4000</v>
      </c>
      <c r="M245" s="187"/>
      <c r="N245" s="187"/>
      <c r="O245" s="145">
        <f t="shared" si="245"/>
        <v>0</v>
      </c>
      <c r="P245" s="269">
        <v>10000</v>
      </c>
      <c r="Q245" s="269">
        <v>13000</v>
      </c>
      <c r="R245" s="269">
        <v>13000</v>
      </c>
    </row>
    <row r="246" spans="2:20" outlineLevel="4">
      <c r="B246" s="44"/>
      <c r="C246" s="107">
        <v>511104</v>
      </c>
      <c r="D246" s="12" t="s">
        <v>419</v>
      </c>
      <c r="E246" s="73" t="s">
        <v>420</v>
      </c>
      <c r="F246" s="277"/>
      <c r="G246" s="296"/>
      <c r="H246" s="223"/>
      <c r="I246" s="223"/>
      <c r="J246" s="223"/>
      <c r="K246" s="215"/>
      <c r="L246" s="411">
        <v>8000</v>
      </c>
      <c r="M246" s="139"/>
      <c r="N246" s="139"/>
      <c r="O246" s="145">
        <f t="shared" si="245"/>
        <v>0</v>
      </c>
      <c r="P246" s="269">
        <v>5000</v>
      </c>
      <c r="Q246" s="269">
        <v>5000</v>
      </c>
      <c r="R246" s="269">
        <v>2000</v>
      </c>
    </row>
    <row r="247" spans="2:20" outlineLevel="4">
      <c r="B247" s="44"/>
      <c r="C247" s="107">
        <v>511105</v>
      </c>
      <c r="D247" s="12" t="s">
        <v>421</v>
      </c>
      <c r="E247" s="478" t="s">
        <v>524</v>
      </c>
      <c r="F247" s="277"/>
      <c r="G247" s="296"/>
      <c r="H247" s="223"/>
      <c r="I247" s="434"/>
      <c r="J247" s="223"/>
      <c r="K247" s="215"/>
      <c r="L247" s="533">
        <v>100000</v>
      </c>
      <c r="M247" s="145"/>
      <c r="N247" s="145"/>
      <c r="O247" s="145">
        <f t="shared" si="245"/>
        <v>0</v>
      </c>
      <c r="P247" s="363">
        <v>30000</v>
      </c>
      <c r="Q247" s="363">
        <v>5000</v>
      </c>
      <c r="R247" s="363">
        <v>5000</v>
      </c>
      <c r="S247" s="192"/>
    </row>
    <row r="248" spans="2:20" outlineLevel="4">
      <c r="B248" s="44"/>
      <c r="C248" s="107">
        <v>511106</v>
      </c>
      <c r="D248" s="67" t="s">
        <v>140</v>
      </c>
      <c r="E248" s="73" t="s">
        <v>527</v>
      </c>
      <c r="F248" s="278"/>
      <c r="G248" s="298"/>
      <c r="H248" s="215"/>
      <c r="I248" s="215"/>
      <c r="J248" s="215"/>
      <c r="K248" s="215"/>
      <c r="L248" s="411">
        <v>8000</v>
      </c>
      <c r="M248" s="139"/>
      <c r="N248" s="139"/>
      <c r="O248" s="145">
        <f t="shared" si="245"/>
        <v>0</v>
      </c>
      <c r="P248" s="270">
        <v>3000</v>
      </c>
      <c r="Q248" s="270">
        <v>3000</v>
      </c>
      <c r="R248" s="270">
        <v>3000</v>
      </c>
      <c r="T248" s="127" t="s">
        <v>434</v>
      </c>
    </row>
    <row r="249" spans="2:20" outlineLevel="4">
      <c r="B249" s="44"/>
      <c r="C249" s="107">
        <v>511108</v>
      </c>
      <c r="D249" s="67" t="s">
        <v>523</v>
      </c>
      <c r="E249" s="482"/>
      <c r="F249" s="278"/>
      <c r="G249" s="298"/>
      <c r="H249" s="215"/>
      <c r="I249" s="215"/>
      <c r="J249" s="215"/>
      <c r="K249" s="215"/>
      <c r="L249" s="544">
        <f>101000-34250</f>
        <v>66750</v>
      </c>
      <c r="M249" s="524"/>
      <c r="N249" s="524"/>
      <c r="O249" s="512">
        <f t="shared" si="245"/>
        <v>0</v>
      </c>
      <c r="P249" s="479">
        <f>102000-34250</f>
        <v>67750</v>
      </c>
      <c r="Q249" s="479">
        <f>102000-34250</f>
        <v>67750</v>
      </c>
      <c r="R249" s="479">
        <f>98000-34250</f>
        <v>63750</v>
      </c>
      <c r="S249" s="476"/>
      <c r="T249" s="477">
        <f>L249+L256+L262+L269+L274</f>
        <v>74750</v>
      </c>
    </row>
    <row r="250" spans="2:20" outlineLevel="4">
      <c r="B250" s="44"/>
      <c r="C250" s="107">
        <v>511109</v>
      </c>
      <c r="D250" s="16" t="s">
        <v>422</v>
      </c>
      <c r="E250" s="73"/>
      <c r="F250" s="278"/>
      <c r="G250" s="298"/>
      <c r="H250" s="215"/>
      <c r="I250" s="215"/>
      <c r="J250" s="215"/>
      <c r="K250" s="215"/>
      <c r="L250" s="531">
        <f>SUM(L243:L249)</f>
        <v>716750</v>
      </c>
      <c r="M250" s="252">
        <f>SUM(M243:M249)</f>
        <v>0</v>
      </c>
      <c r="N250" s="252">
        <f>SUM(N243:N249)</f>
        <v>0</v>
      </c>
      <c r="O250" s="215">
        <f t="shared" si="245"/>
        <v>0</v>
      </c>
      <c r="P250" s="271">
        <f>SUM(P243:P249)</f>
        <v>645750</v>
      </c>
      <c r="Q250" s="271">
        <f>SUM(Q243:Q249)</f>
        <v>623750</v>
      </c>
      <c r="R250" s="271">
        <f>SUM(R243:R249)</f>
        <v>616750</v>
      </c>
    </row>
    <row r="251" spans="2:20" ht="9" customHeight="1" outlineLevel="3">
      <c r="B251" s="44"/>
      <c r="C251" s="130"/>
      <c r="E251" s="73"/>
      <c r="F251" s="278"/>
      <c r="G251" s="298"/>
      <c r="H251" s="215"/>
      <c r="I251" s="215"/>
      <c r="J251" s="215"/>
      <c r="K251" s="215"/>
      <c r="L251" s="411"/>
      <c r="M251" s="139"/>
      <c r="N251" s="139"/>
      <c r="O251" s="139"/>
      <c r="P251" s="270"/>
      <c r="Q251" s="270"/>
      <c r="R251" s="270"/>
    </row>
    <row r="252" spans="2:20" outlineLevel="3">
      <c r="B252" s="44"/>
      <c r="C252" s="130">
        <v>511200</v>
      </c>
      <c r="D252" s="34" t="s">
        <v>437</v>
      </c>
      <c r="E252" s="73"/>
      <c r="F252" s="278"/>
      <c r="G252" s="298"/>
      <c r="H252" s="215"/>
      <c r="I252" s="215"/>
      <c r="J252" s="215"/>
      <c r="K252" s="215"/>
      <c r="L252" s="537">
        <f t="shared" ref="L252:R252" si="246">L257</f>
        <v>105000</v>
      </c>
      <c r="M252" s="139">
        <f t="shared" si="246"/>
        <v>0</v>
      </c>
      <c r="N252" s="139">
        <f t="shared" si="246"/>
        <v>0</v>
      </c>
      <c r="O252" s="139">
        <f t="shared" si="246"/>
        <v>0</v>
      </c>
      <c r="P252" s="401">
        <f t="shared" si="246"/>
        <v>115000</v>
      </c>
      <c r="Q252" s="401">
        <f t="shared" si="246"/>
        <v>115000</v>
      </c>
      <c r="R252" s="401">
        <f t="shared" si="246"/>
        <v>115000</v>
      </c>
      <c r="S252" s="386"/>
    </row>
    <row r="253" spans="2:20" outlineLevel="4">
      <c r="B253" s="44"/>
      <c r="C253" s="107">
        <v>511201</v>
      </c>
      <c r="D253" s="67" t="s">
        <v>131</v>
      </c>
      <c r="E253" s="73"/>
      <c r="F253" s="278"/>
      <c r="G253" s="298"/>
      <c r="H253" s="215"/>
      <c r="I253" s="215"/>
      <c r="J253" s="410"/>
      <c r="K253" s="410" t="s">
        <v>466</v>
      </c>
      <c r="L253" s="545">
        <v>30000</v>
      </c>
      <c r="M253" s="513"/>
      <c r="N253" s="513"/>
      <c r="O253" s="513">
        <f>M253+N253</f>
        <v>0</v>
      </c>
      <c r="P253" s="391">
        <v>30000</v>
      </c>
      <c r="Q253" s="391">
        <v>30000</v>
      </c>
      <c r="R253" s="391">
        <v>30000</v>
      </c>
      <c r="S253" s="386"/>
    </row>
    <row r="254" spans="2:20" ht="12.75" customHeight="1" outlineLevel="4">
      <c r="B254" s="44"/>
      <c r="C254" s="107">
        <v>511202</v>
      </c>
      <c r="D254" s="67" t="s">
        <v>450</v>
      </c>
      <c r="E254" s="73"/>
      <c r="F254" s="278"/>
      <c r="G254" s="298"/>
      <c r="H254" s="215"/>
      <c r="I254" s="215"/>
      <c r="J254" s="215"/>
      <c r="K254" s="215"/>
      <c r="L254" s="411">
        <v>40000</v>
      </c>
      <c r="M254" s="139"/>
      <c r="N254" s="139"/>
      <c r="O254" s="139">
        <f>M254+N254</f>
        <v>0</v>
      </c>
      <c r="P254" s="270">
        <v>50000</v>
      </c>
      <c r="Q254" s="270">
        <v>50000</v>
      </c>
      <c r="R254" s="270">
        <v>50000</v>
      </c>
      <c r="S254" s="386"/>
    </row>
    <row r="255" spans="2:20" ht="12.75" customHeight="1" outlineLevel="4">
      <c r="B255" s="44"/>
      <c r="C255" s="107">
        <v>511203</v>
      </c>
      <c r="D255" s="12" t="s">
        <v>424</v>
      </c>
      <c r="E255" s="562"/>
      <c r="F255" s="562"/>
      <c r="G255" s="562"/>
      <c r="H255" s="562"/>
      <c r="I255" s="215"/>
      <c r="J255" s="215"/>
      <c r="K255" s="215"/>
      <c r="L255" s="411">
        <v>30000</v>
      </c>
      <c r="M255" s="139"/>
      <c r="N255" s="139"/>
      <c r="O255" s="139">
        <f>M255+N255</f>
        <v>0</v>
      </c>
      <c r="P255" s="270">
        <v>30000</v>
      </c>
      <c r="Q255" s="270">
        <v>30000</v>
      </c>
      <c r="R255" s="270">
        <v>30000</v>
      </c>
    </row>
    <row r="256" spans="2:20" outlineLevel="4">
      <c r="B256" s="44"/>
      <c r="C256" s="107">
        <v>511204</v>
      </c>
      <c r="D256" s="67" t="s">
        <v>428</v>
      </c>
      <c r="E256" s="73"/>
      <c r="F256" s="278"/>
      <c r="G256" s="298"/>
      <c r="H256" s="215"/>
      <c r="I256" s="215"/>
      <c r="J256" s="215"/>
      <c r="K256" s="394" t="s">
        <v>439</v>
      </c>
      <c r="L256" s="546">
        <v>5000</v>
      </c>
      <c r="M256" s="514"/>
      <c r="N256" s="514"/>
      <c r="O256" s="514"/>
      <c r="P256" s="375">
        <v>5000</v>
      </c>
      <c r="Q256" s="375">
        <v>5000</v>
      </c>
      <c r="R256" s="375">
        <v>5000</v>
      </c>
    </row>
    <row r="257" spans="2:19" outlineLevel="4">
      <c r="B257" s="44"/>
      <c r="C257" s="130">
        <v>511209</v>
      </c>
      <c r="D257" s="66" t="s">
        <v>431</v>
      </c>
      <c r="E257" s="73"/>
      <c r="F257" s="278"/>
      <c r="G257" s="298"/>
      <c r="H257" s="215"/>
      <c r="I257" s="215"/>
      <c r="J257" s="215"/>
      <c r="K257" s="215"/>
      <c r="L257" s="531">
        <f>SUM(L253:L256)</f>
        <v>105000</v>
      </c>
      <c r="M257" s="252">
        <f>SUM(M253:M256)</f>
        <v>0</v>
      </c>
      <c r="N257" s="252">
        <f>SUM(N253:N256)</f>
        <v>0</v>
      </c>
      <c r="O257" s="215">
        <f>M257+N257</f>
        <v>0</v>
      </c>
      <c r="P257" s="271">
        <f>SUM(P253:P256)</f>
        <v>115000</v>
      </c>
      <c r="Q257" s="271">
        <f>SUM(Q253:Q256)</f>
        <v>115000</v>
      </c>
      <c r="R257" s="271">
        <f>SUM(R253:R256)</f>
        <v>115000</v>
      </c>
    </row>
    <row r="258" spans="2:19" ht="9" customHeight="1" outlineLevel="3">
      <c r="B258" s="44"/>
      <c r="C258" s="130"/>
      <c r="E258" s="73"/>
      <c r="F258" s="278"/>
      <c r="G258" s="298"/>
      <c r="H258" s="215"/>
      <c r="I258" s="215"/>
      <c r="J258" s="215"/>
      <c r="K258" s="215"/>
      <c r="L258" s="411"/>
      <c r="M258" s="139"/>
      <c r="N258" s="139"/>
      <c r="O258" s="139"/>
      <c r="P258" s="270"/>
      <c r="Q258" s="270"/>
      <c r="R258" s="270"/>
    </row>
    <row r="259" spans="2:19" outlineLevel="3">
      <c r="B259" s="44"/>
      <c r="C259" s="130">
        <v>511300</v>
      </c>
      <c r="D259" s="34" t="s">
        <v>425</v>
      </c>
      <c r="E259" s="73"/>
      <c r="F259" s="277"/>
      <c r="G259" s="296"/>
      <c r="H259" s="223"/>
      <c r="I259" s="223"/>
      <c r="J259" s="223"/>
      <c r="K259" s="215"/>
      <c r="L259" s="537">
        <f t="shared" ref="L259:R259" si="247">L263</f>
        <v>55500</v>
      </c>
      <c r="M259" s="139">
        <f t="shared" si="247"/>
        <v>0</v>
      </c>
      <c r="N259" s="139">
        <f t="shared" si="247"/>
        <v>0</v>
      </c>
      <c r="O259" s="139">
        <f t="shared" si="247"/>
        <v>0</v>
      </c>
      <c r="P259" s="401">
        <f t="shared" si="247"/>
        <v>57500</v>
      </c>
      <c r="Q259" s="401">
        <f t="shared" si="247"/>
        <v>57500</v>
      </c>
      <c r="R259" s="401">
        <f t="shared" si="247"/>
        <v>57500</v>
      </c>
    </row>
    <row r="260" spans="2:19" outlineLevel="4">
      <c r="B260" s="44"/>
      <c r="C260" s="107">
        <v>511301</v>
      </c>
      <c r="D260" s="12" t="s">
        <v>131</v>
      </c>
      <c r="E260" s="73"/>
      <c r="F260" s="277"/>
      <c r="G260" s="296"/>
      <c r="H260" s="223"/>
      <c r="I260" s="223"/>
      <c r="J260" s="410"/>
      <c r="K260" s="410" t="s">
        <v>466</v>
      </c>
      <c r="L260" s="547">
        <v>50000</v>
      </c>
      <c r="M260" s="515"/>
      <c r="N260" s="515"/>
      <c r="O260" s="515">
        <f>M260+N260</f>
        <v>0</v>
      </c>
      <c r="P260" s="390">
        <v>50000</v>
      </c>
      <c r="Q260" s="390">
        <v>50000</v>
      </c>
      <c r="R260" s="390">
        <v>50000</v>
      </c>
    </row>
    <row r="261" spans="2:19" outlineLevel="4">
      <c r="B261" s="44"/>
      <c r="C261" s="107">
        <v>511302</v>
      </c>
      <c r="D261" s="12" t="s">
        <v>467</v>
      </c>
      <c r="E261" s="73" t="s">
        <v>406</v>
      </c>
      <c r="F261" s="277"/>
      <c r="G261" s="296"/>
      <c r="H261" s="223"/>
      <c r="I261" s="223"/>
      <c r="J261" s="223"/>
      <c r="K261" s="215"/>
      <c r="L261" s="411">
        <v>4000</v>
      </c>
      <c r="M261" s="139"/>
      <c r="N261" s="139"/>
      <c r="O261" s="139">
        <f>M261+N261</f>
        <v>0</v>
      </c>
      <c r="P261" s="270">
        <v>6000</v>
      </c>
      <c r="Q261" s="270">
        <v>6000</v>
      </c>
      <c r="R261" s="270">
        <v>6000</v>
      </c>
    </row>
    <row r="262" spans="2:19" outlineLevel="4">
      <c r="B262" s="44"/>
      <c r="C262" s="107">
        <v>511303</v>
      </c>
      <c r="D262" s="67" t="s">
        <v>428</v>
      </c>
      <c r="E262" s="73"/>
      <c r="F262" s="277"/>
      <c r="G262" s="296"/>
      <c r="H262" s="223"/>
      <c r="I262" s="223"/>
      <c r="J262" s="223"/>
      <c r="K262" s="394" t="s">
        <v>439</v>
      </c>
      <c r="L262" s="546">
        <v>1500</v>
      </c>
      <c r="M262" s="514"/>
      <c r="N262" s="514"/>
      <c r="O262" s="514">
        <f>M262+N262</f>
        <v>0</v>
      </c>
      <c r="P262" s="375">
        <v>1500</v>
      </c>
      <c r="Q262" s="375">
        <v>1500</v>
      </c>
      <c r="R262" s="375">
        <v>1500</v>
      </c>
    </row>
    <row r="263" spans="2:19" outlineLevel="4">
      <c r="B263" s="44"/>
      <c r="C263" s="130">
        <v>511309</v>
      </c>
      <c r="D263" s="16" t="s">
        <v>430</v>
      </c>
      <c r="E263" s="73"/>
      <c r="F263" s="277"/>
      <c r="G263" s="296"/>
      <c r="H263" s="223"/>
      <c r="I263" s="223"/>
      <c r="J263" s="223"/>
      <c r="K263" s="215"/>
      <c r="L263" s="531">
        <f>SUM(L260:L262)</f>
        <v>55500</v>
      </c>
      <c r="M263" s="252">
        <f>SUM(M260:M262)</f>
        <v>0</v>
      </c>
      <c r="N263" s="252">
        <f>SUM(N260:N262)</f>
        <v>0</v>
      </c>
      <c r="O263" s="252">
        <f>M263+N263</f>
        <v>0</v>
      </c>
      <c r="P263" s="271">
        <f>SUM(P260:P262)</f>
        <v>57500</v>
      </c>
      <c r="Q263" s="271">
        <f>SUM(Q260:Q262)</f>
        <v>57500</v>
      </c>
      <c r="R263" s="271">
        <f>SUM(R260:R262)</f>
        <v>57500</v>
      </c>
    </row>
    <row r="264" spans="2:19" ht="9" customHeight="1" outlineLevel="3">
      <c r="B264" s="44"/>
      <c r="C264" s="130"/>
      <c r="E264" s="73"/>
      <c r="F264" s="278"/>
      <c r="G264" s="298"/>
      <c r="H264" s="215"/>
      <c r="I264" s="215"/>
      <c r="J264" s="215"/>
      <c r="K264" s="215"/>
      <c r="L264" s="411"/>
      <c r="M264" s="139"/>
      <c r="N264" s="139"/>
      <c r="O264" s="139"/>
      <c r="P264" s="270"/>
      <c r="Q264" s="270"/>
      <c r="R264" s="270"/>
    </row>
    <row r="265" spans="2:19" outlineLevel="3">
      <c r="B265" s="44"/>
      <c r="C265" s="130">
        <v>511400</v>
      </c>
      <c r="D265" s="34" t="s">
        <v>426</v>
      </c>
      <c r="E265" s="73"/>
      <c r="F265" s="277"/>
      <c r="G265" s="296"/>
      <c r="H265" s="223"/>
      <c r="I265" s="223"/>
      <c r="J265" s="223"/>
      <c r="K265" s="215"/>
      <c r="L265" s="537">
        <f t="shared" ref="L265:R265" si="248">L270</f>
        <v>76000</v>
      </c>
      <c r="M265" s="139">
        <f t="shared" si="248"/>
        <v>0</v>
      </c>
      <c r="N265" s="139">
        <f t="shared" si="248"/>
        <v>0</v>
      </c>
      <c r="O265" s="139">
        <f t="shared" si="248"/>
        <v>0</v>
      </c>
      <c r="P265" s="401">
        <f t="shared" si="248"/>
        <v>76000</v>
      </c>
      <c r="Q265" s="401">
        <f t="shared" si="248"/>
        <v>76000</v>
      </c>
      <c r="R265" s="401">
        <f t="shared" si="248"/>
        <v>76000</v>
      </c>
    </row>
    <row r="266" spans="2:19" outlineLevel="4">
      <c r="B266" s="44"/>
      <c r="C266" s="107">
        <v>511401</v>
      </c>
      <c r="D266" s="67" t="s">
        <v>131</v>
      </c>
      <c r="E266" s="73"/>
      <c r="F266" s="277"/>
      <c r="G266" s="296"/>
      <c r="H266" s="223"/>
      <c r="I266" s="223"/>
      <c r="J266" s="410" t="s">
        <v>462</v>
      </c>
      <c r="K266" s="215"/>
      <c r="L266" s="545">
        <v>30000</v>
      </c>
      <c r="M266" s="513"/>
      <c r="N266" s="513"/>
      <c r="O266" s="513"/>
      <c r="P266" s="391">
        <v>30000</v>
      </c>
      <c r="Q266" s="391">
        <v>30000</v>
      </c>
      <c r="R266" s="391">
        <v>30000</v>
      </c>
    </row>
    <row r="267" spans="2:19" outlineLevel="4">
      <c r="B267" s="44"/>
      <c r="C267" s="107">
        <v>511402</v>
      </c>
      <c r="D267" s="12" t="s">
        <v>438</v>
      </c>
      <c r="E267" s="73"/>
      <c r="F267" s="277"/>
      <c r="G267" s="296"/>
      <c r="H267" s="223"/>
      <c r="I267" s="223"/>
      <c r="J267" s="223"/>
      <c r="K267" s="215"/>
      <c r="L267" s="411">
        <v>38000</v>
      </c>
      <c r="M267" s="139"/>
      <c r="N267" s="139"/>
      <c r="O267" s="139"/>
      <c r="P267" s="270">
        <v>38000</v>
      </c>
      <c r="Q267" s="270">
        <v>38000</v>
      </c>
      <c r="R267" s="270">
        <v>38000</v>
      </c>
      <c r="S267" s="55"/>
    </row>
    <row r="268" spans="2:19" outlineLevel="4">
      <c r="B268" s="44"/>
      <c r="C268" s="107">
        <v>511403</v>
      </c>
      <c r="D268" s="12" t="s">
        <v>427</v>
      </c>
      <c r="E268" s="73"/>
      <c r="F268" s="277"/>
      <c r="G268" s="296"/>
      <c r="H268" s="223"/>
      <c r="I268" s="223"/>
      <c r="J268" s="223"/>
      <c r="K268" s="215"/>
      <c r="L268" s="411">
        <v>7000</v>
      </c>
      <c r="M268" s="139"/>
      <c r="N268" s="139"/>
      <c r="O268" s="139"/>
      <c r="P268" s="270">
        <v>7000</v>
      </c>
      <c r="Q268" s="270">
        <v>7000</v>
      </c>
      <c r="R268" s="270">
        <v>7000</v>
      </c>
    </row>
    <row r="269" spans="2:19" outlineLevel="4">
      <c r="B269" s="44"/>
      <c r="C269" s="107">
        <v>511404</v>
      </c>
      <c r="D269" s="67" t="s">
        <v>428</v>
      </c>
      <c r="E269" s="73"/>
      <c r="F269" s="277"/>
      <c r="G269" s="296"/>
      <c r="H269" s="223"/>
      <c r="I269" s="223"/>
      <c r="J269" s="223"/>
      <c r="K269" s="394" t="s">
        <v>439</v>
      </c>
      <c r="L269" s="548">
        <v>1000</v>
      </c>
      <c r="M269" s="516"/>
      <c r="N269" s="516"/>
      <c r="O269" s="516"/>
      <c r="P269" s="475">
        <v>1000</v>
      </c>
      <c r="Q269" s="475">
        <v>1000</v>
      </c>
      <c r="R269" s="475">
        <v>1000</v>
      </c>
    </row>
    <row r="270" spans="2:19" outlineLevel="4">
      <c r="B270" s="44"/>
      <c r="C270" s="130">
        <v>511409</v>
      </c>
      <c r="D270" s="66" t="s">
        <v>432</v>
      </c>
      <c r="E270" s="73"/>
      <c r="F270" s="277"/>
      <c r="G270" s="296"/>
      <c r="H270" s="223"/>
      <c r="I270" s="223"/>
      <c r="J270" s="223"/>
      <c r="K270" s="215"/>
      <c r="L270" s="531">
        <f>SUM(L266:L269)</f>
        <v>76000</v>
      </c>
      <c r="M270" s="252">
        <f>SUM(M266:M269)</f>
        <v>0</v>
      </c>
      <c r="N270" s="252">
        <f>SUM(N266:N269)</f>
        <v>0</v>
      </c>
      <c r="O270" s="252">
        <f>M270+N270</f>
        <v>0</v>
      </c>
      <c r="P270" s="271">
        <f>SUM(P266:P269)</f>
        <v>76000</v>
      </c>
      <c r="Q270" s="271">
        <f>SUM(Q266:Q269)</f>
        <v>76000</v>
      </c>
      <c r="R270" s="271">
        <f>SUM(R266:R269)</f>
        <v>76000</v>
      </c>
    </row>
    <row r="271" spans="2:19" ht="9" customHeight="1" outlineLevel="3">
      <c r="B271" s="44"/>
      <c r="C271" s="130"/>
      <c r="D271" s="67"/>
      <c r="E271" s="73"/>
      <c r="F271" s="277"/>
      <c r="G271" s="296"/>
      <c r="H271" s="223"/>
      <c r="I271" s="223"/>
      <c r="J271" s="223"/>
      <c r="K271" s="215"/>
      <c r="L271" s="531"/>
      <c r="M271" s="252"/>
      <c r="N271" s="252"/>
      <c r="O271" s="252"/>
      <c r="P271" s="271"/>
      <c r="Q271" s="271"/>
      <c r="R271" s="271"/>
    </row>
    <row r="272" spans="2:19" outlineLevel="3">
      <c r="B272" s="44"/>
      <c r="C272" s="130">
        <v>511500</v>
      </c>
      <c r="D272" s="389" t="s">
        <v>429</v>
      </c>
      <c r="E272" s="73"/>
      <c r="F272" s="277"/>
      <c r="G272" s="296"/>
      <c r="H272" s="223"/>
      <c r="I272" s="223"/>
      <c r="J272" s="223"/>
      <c r="K272" s="215"/>
      <c r="L272" s="537">
        <f t="shared" ref="L272:R272" si="249">L275</f>
        <v>30500</v>
      </c>
      <c r="M272" s="139">
        <f t="shared" si="249"/>
        <v>0</v>
      </c>
      <c r="N272" s="139">
        <f t="shared" si="249"/>
        <v>0</v>
      </c>
      <c r="O272" s="139">
        <f t="shared" si="249"/>
        <v>0</v>
      </c>
      <c r="P272" s="401">
        <f t="shared" si="249"/>
        <v>30500</v>
      </c>
      <c r="Q272" s="401">
        <f t="shared" si="249"/>
        <v>30500</v>
      </c>
      <c r="R272" s="401">
        <f t="shared" si="249"/>
        <v>30500</v>
      </c>
    </row>
    <row r="273" spans="1:18" outlineLevel="4">
      <c r="B273" s="44"/>
      <c r="C273" s="107">
        <v>511501</v>
      </c>
      <c r="D273" s="67" t="s">
        <v>449</v>
      </c>
      <c r="E273" s="73"/>
      <c r="F273" s="277"/>
      <c r="G273" s="296"/>
      <c r="H273" s="223"/>
      <c r="I273" s="223"/>
      <c r="J273" s="223"/>
      <c r="K273" s="215"/>
      <c r="L273" s="411">
        <v>30000</v>
      </c>
      <c r="M273" s="139"/>
      <c r="N273" s="139"/>
      <c r="O273" s="139"/>
      <c r="P273" s="270">
        <v>30000</v>
      </c>
      <c r="Q273" s="270">
        <v>30000</v>
      </c>
      <c r="R273" s="270">
        <v>30000</v>
      </c>
    </row>
    <row r="274" spans="1:18" outlineLevel="4">
      <c r="B274" s="44"/>
      <c r="C274" s="107">
        <v>511502</v>
      </c>
      <c r="D274" s="67" t="s">
        <v>428</v>
      </c>
      <c r="E274" s="73"/>
      <c r="F274" s="277"/>
      <c r="G274" s="296"/>
      <c r="H274" s="223"/>
      <c r="I274" s="223"/>
      <c r="J274" s="223"/>
      <c r="K274" s="394" t="s">
        <v>439</v>
      </c>
      <c r="L274" s="532">
        <v>500</v>
      </c>
      <c r="M274" s="217"/>
      <c r="N274" s="217"/>
      <c r="O274" s="217"/>
      <c r="P274" s="365">
        <v>500</v>
      </c>
      <c r="Q274" s="365">
        <v>500</v>
      </c>
      <c r="R274" s="365">
        <v>500</v>
      </c>
    </row>
    <row r="275" spans="1:18" outlineLevel="4">
      <c r="B275" s="44"/>
      <c r="C275" s="130">
        <v>511509</v>
      </c>
      <c r="D275" s="66" t="s">
        <v>435</v>
      </c>
      <c r="E275" s="73"/>
      <c r="F275" s="277"/>
      <c r="G275" s="296"/>
      <c r="H275" s="223"/>
      <c r="I275" s="223"/>
      <c r="J275" s="223"/>
      <c r="K275" s="215"/>
      <c r="L275" s="531">
        <f>SUM(L273:L274)</f>
        <v>30500</v>
      </c>
      <c r="M275" s="252">
        <f>SUM(M273:M274)</f>
        <v>0</v>
      </c>
      <c r="N275" s="252">
        <f>SUM(N273:N274)</f>
        <v>0</v>
      </c>
      <c r="O275" s="252">
        <f>M275+N275</f>
        <v>0</v>
      </c>
      <c r="P275" s="271">
        <f>SUM(P273:P274)</f>
        <v>30500</v>
      </c>
      <c r="Q275" s="271">
        <f>SUM(Q273:Q274)</f>
        <v>30500</v>
      </c>
      <c r="R275" s="271">
        <f>SUM(R273:R274)</f>
        <v>30500</v>
      </c>
    </row>
    <row r="276" spans="1:18" ht="9" customHeight="1" outlineLevel="3">
      <c r="B276" s="44"/>
      <c r="C276" s="130"/>
      <c r="E276" s="73"/>
      <c r="F276" s="277"/>
      <c r="G276" s="302"/>
      <c r="H276" s="170"/>
      <c r="I276" s="213"/>
      <c r="J276" s="213"/>
      <c r="K276" s="215"/>
      <c r="L276" s="528"/>
      <c r="M276" s="187"/>
      <c r="N276" s="187"/>
      <c r="O276" s="187"/>
      <c r="P276" s="269"/>
      <c r="Q276" s="269"/>
      <c r="R276" s="269"/>
    </row>
    <row r="277" spans="1:18" outlineLevel="3">
      <c r="A277" s="33" t="s">
        <v>2</v>
      </c>
      <c r="B277" s="41"/>
      <c r="C277" s="130">
        <v>519999</v>
      </c>
      <c r="D277" s="34" t="s">
        <v>446</v>
      </c>
      <c r="F277" s="277">
        <f>F233+F238</f>
        <v>654800</v>
      </c>
      <c r="G277" s="296">
        <f>G233+G238</f>
        <v>637480</v>
      </c>
      <c r="H277" s="223">
        <f>H233+H238</f>
        <v>675700</v>
      </c>
      <c r="I277" s="223">
        <f>I233+I238</f>
        <v>659931</v>
      </c>
      <c r="J277" s="223">
        <f>J233+J238</f>
        <v>0</v>
      </c>
      <c r="K277" s="215">
        <f>I277+J277</f>
        <v>659931</v>
      </c>
      <c r="L277" s="531">
        <f>L233+L238+L250+L257+L263+L270+L275</f>
        <v>983750</v>
      </c>
      <c r="M277" s="252">
        <f>M233+M238+M250+M257+M263+M270+M275</f>
        <v>0</v>
      </c>
      <c r="N277" s="252">
        <f>N233+N238+N250+N257+N263+N270+N275</f>
        <v>0</v>
      </c>
      <c r="O277" s="252">
        <f>M277+N277</f>
        <v>0</v>
      </c>
      <c r="P277" s="271">
        <f>P233+P238+P250+P257+P263+P270+P275</f>
        <v>924750</v>
      </c>
      <c r="Q277" s="271">
        <f>Q233+Q238+Q250+Q257+Q263+Q270+Q275</f>
        <v>902750</v>
      </c>
      <c r="R277" s="271">
        <f>R233+R238+R250+R257+R263+R270+R275</f>
        <v>895750</v>
      </c>
    </row>
    <row r="278" spans="1:18" ht="5.0999999999999996" customHeight="1" outlineLevel="1">
      <c r="B278" s="41"/>
      <c r="C278" s="107"/>
      <c r="F278" s="278"/>
      <c r="G278" s="303"/>
      <c r="H278" s="213"/>
      <c r="I278" s="213"/>
      <c r="J278" s="213"/>
      <c r="K278" s="213"/>
      <c r="L278" s="528"/>
      <c r="M278" s="187"/>
      <c r="N278" s="187"/>
      <c r="O278" s="187"/>
      <c r="P278" s="269"/>
      <c r="Q278" s="269"/>
      <c r="R278" s="269"/>
    </row>
    <row r="279" spans="1:18" outlineLevel="1">
      <c r="A279" s="33" t="s">
        <v>0</v>
      </c>
      <c r="B279" s="42"/>
      <c r="C279" s="130">
        <v>520000</v>
      </c>
      <c r="D279" s="396" t="s">
        <v>408</v>
      </c>
      <c r="E279" s="428"/>
      <c r="F279" s="278">
        <f t="shared" ref="F279" si="250">F330</f>
        <v>608138.66666666663</v>
      </c>
      <c r="G279" s="298">
        <f t="shared" ref="G279" si="251">G330</f>
        <v>542515</v>
      </c>
      <c r="H279" s="215">
        <f t="shared" ref="H279:J279" si="252">H330</f>
        <v>604727</v>
      </c>
      <c r="I279" s="215">
        <f t="shared" si="252"/>
        <v>524678</v>
      </c>
      <c r="J279" s="215">
        <f t="shared" si="252"/>
        <v>0</v>
      </c>
      <c r="K279" s="215">
        <f>I279+J279</f>
        <v>524678</v>
      </c>
      <c r="L279" s="411">
        <f>L330</f>
        <v>1016969</v>
      </c>
      <c r="M279" s="215">
        <f t="shared" ref="M279:N279" si="253">M330</f>
        <v>0</v>
      </c>
      <c r="N279" s="139">
        <f t="shared" si="253"/>
        <v>0</v>
      </c>
      <c r="O279" s="215">
        <f>M279+N279</f>
        <v>0</v>
      </c>
      <c r="P279" s="270">
        <f>P330</f>
        <v>965969</v>
      </c>
      <c r="Q279" s="270">
        <f>Q330</f>
        <v>965969</v>
      </c>
      <c r="R279" s="270">
        <f>R330</f>
        <v>965969</v>
      </c>
    </row>
    <row r="280" spans="1:18" ht="9" customHeight="1" outlineLevel="2">
      <c r="B280" s="42"/>
      <c r="C280" s="130"/>
      <c r="D280" s="11"/>
      <c r="E280" s="85"/>
      <c r="F280" s="278"/>
      <c r="G280" s="298"/>
      <c r="H280" s="215"/>
      <c r="I280" s="215"/>
      <c r="J280" s="215"/>
      <c r="K280" s="215"/>
      <c r="L280" s="411"/>
      <c r="M280" s="139"/>
      <c r="N280" s="139"/>
      <c r="O280" s="139"/>
      <c r="P280" s="270"/>
      <c r="Q280" s="270"/>
      <c r="R280" s="270"/>
    </row>
    <row r="281" spans="1:18" s="5" customFormat="1" outlineLevel="2">
      <c r="A281" s="50"/>
      <c r="B281" s="42"/>
      <c r="C281" s="407"/>
      <c r="D281" s="413" t="s">
        <v>441</v>
      </c>
      <c r="E281" s="417"/>
      <c r="F281" s="270"/>
      <c r="G281" s="298"/>
      <c r="H281" s="215">
        <f>H323</f>
        <v>604727</v>
      </c>
      <c r="I281" s="215">
        <f t="shared" ref="I281:K281" si="254">I323</f>
        <v>524678</v>
      </c>
      <c r="J281" s="215">
        <f t="shared" si="254"/>
        <v>0</v>
      </c>
      <c r="K281" s="215">
        <f t="shared" si="254"/>
        <v>524678</v>
      </c>
      <c r="L281" s="533">
        <f>L323</f>
        <v>626969</v>
      </c>
      <c r="M281" s="145"/>
      <c r="N281" s="145"/>
      <c r="O281" s="145"/>
      <c r="P281" s="363">
        <f>P323</f>
        <v>575969</v>
      </c>
      <c r="Q281" s="363">
        <f>Q323</f>
        <v>575969</v>
      </c>
      <c r="R281" s="363">
        <f>R323</f>
        <v>575969</v>
      </c>
    </row>
    <row r="282" spans="1:18" s="5" customFormat="1" outlineLevel="3" collapsed="1">
      <c r="A282" s="50" t="s">
        <v>0</v>
      </c>
      <c r="B282" s="42"/>
      <c r="C282" s="471">
        <v>520100</v>
      </c>
      <c r="D282" s="203" t="s">
        <v>502</v>
      </c>
      <c r="E282" s="417"/>
      <c r="F282" s="270"/>
      <c r="G282" s="298"/>
      <c r="H282" s="215">
        <f>H291</f>
        <v>360000</v>
      </c>
      <c r="I282" s="215">
        <f t="shared" ref="I282:K282" si="255">I291</f>
        <v>359225</v>
      </c>
      <c r="J282" s="215">
        <f t="shared" si="255"/>
        <v>0</v>
      </c>
      <c r="K282" s="215">
        <f t="shared" si="255"/>
        <v>359225</v>
      </c>
      <c r="L282" s="537">
        <f>L291</f>
        <v>305000</v>
      </c>
      <c r="M282" s="510"/>
      <c r="N282" s="510"/>
      <c r="O282" s="510"/>
      <c r="P282" s="401">
        <f>P291</f>
        <v>280000</v>
      </c>
      <c r="Q282" s="401">
        <f>Q291</f>
        <v>280000</v>
      </c>
      <c r="R282" s="401">
        <f>R291</f>
        <v>280000</v>
      </c>
    </row>
    <row r="283" spans="1:18" s="5" customFormat="1" hidden="1" outlineLevel="4">
      <c r="A283" s="50" t="s">
        <v>136</v>
      </c>
      <c r="B283" s="44">
        <v>51101</v>
      </c>
      <c r="C283" s="472">
        <v>520101</v>
      </c>
      <c r="D283" s="474" t="s">
        <v>91</v>
      </c>
      <c r="E283" s="52"/>
      <c r="F283" s="278">
        <v>0</v>
      </c>
      <c r="G283" s="298"/>
      <c r="H283" s="213">
        <v>0</v>
      </c>
      <c r="I283" s="215">
        <v>0</v>
      </c>
      <c r="J283" s="215"/>
      <c r="K283" s="215">
        <f t="shared" ref="K283:K291" si="256">I283+J283</f>
        <v>0</v>
      </c>
      <c r="L283" s="411"/>
      <c r="M283" s="139"/>
      <c r="N283" s="139"/>
      <c r="O283" s="139"/>
      <c r="P283" s="270"/>
      <c r="Q283" s="270"/>
      <c r="R283" s="270"/>
    </row>
    <row r="284" spans="1:18" s="5" customFormat="1" hidden="1" outlineLevel="4">
      <c r="A284" s="50" t="s">
        <v>136</v>
      </c>
      <c r="B284" s="44">
        <v>51102</v>
      </c>
      <c r="C284" s="472">
        <v>520102</v>
      </c>
      <c r="D284" s="474" t="s">
        <v>92</v>
      </c>
      <c r="E284" s="52"/>
      <c r="F284" s="279">
        <v>0</v>
      </c>
      <c r="G284" s="298"/>
      <c r="H284" s="170">
        <v>0</v>
      </c>
      <c r="I284" s="215">
        <v>0</v>
      </c>
      <c r="J284" s="215"/>
      <c r="K284" s="215">
        <f t="shared" si="256"/>
        <v>0</v>
      </c>
      <c r="L284" s="411"/>
      <c r="M284" s="139"/>
      <c r="N284" s="139"/>
      <c r="O284" s="139"/>
      <c r="P284" s="270"/>
      <c r="Q284" s="270"/>
      <c r="R284" s="270"/>
    </row>
    <row r="285" spans="1:18" s="5" customFormat="1" hidden="1" outlineLevel="4">
      <c r="A285" s="50" t="s">
        <v>136</v>
      </c>
      <c r="B285" s="44">
        <v>51103</v>
      </c>
      <c r="C285" s="472">
        <v>520103</v>
      </c>
      <c r="D285" s="474" t="s">
        <v>290</v>
      </c>
      <c r="E285" s="52"/>
      <c r="F285" s="279">
        <v>0</v>
      </c>
      <c r="G285" s="298"/>
      <c r="H285" s="170">
        <v>0</v>
      </c>
      <c r="I285" s="215">
        <v>0</v>
      </c>
      <c r="J285" s="215"/>
      <c r="K285" s="215">
        <f t="shared" si="256"/>
        <v>0</v>
      </c>
      <c r="L285" s="411"/>
      <c r="M285" s="139"/>
      <c r="N285" s="139"/>
      <c r="O285" s="139"/>
      <c r="P285" s="270"/>
      <c r="Q285" s="270"/>
      <c r="R285" s="270"/>
    </row>
    <row r="286" spans="1:18" s="5" customFormat="1" hidden="1" outlineLevel="4">
      <c r="A286" s="50" t="s">
        <v>136</v>
      </c>
      <c r="B286" s="44">
        <v>51105</v>
      </c>
      <c r="C286" s="472">
        <v>520104</v>
      </c>
      <c r="D286" s="474" t="s">
        <v>289</v>
      </c>
      <c r="E286" s="52"/>
      <c r="F286" s="279">
        <v>0</v>
      </c>
      <c r="G286" s="298"/>
      <c r="H286" s="170">
        <v>0</v>
      </c>
      <c r="I286" s="215">
        <v>0</v>
      </c>
      <c r="J286" s="215"/>
      <c r="K286" s="215">
        <f t="shared" si="256"/>
        <v>0</v>
      </c>
      <c r="L286" s="411"/>
      <c r="M286" s="139"/>
      <c r="N286" s="139"/>
      <c r="O286" s="139"/>
      <c r="P286" s="270"/>
      <c r="Q286" s="270"/>
      <c r="R286" s="270"/>
    </row>
    <row r="287" spans="1:18" s="5" customFormat="1" hidden="1" outlineLevel="4">
      <c r="A287" s="50" t="s">
        <v>136</v>
      </c>
      <c r="B287" s="44">
        <v>51108</v>
      </c>
      <c r="C287" s="472">
        <v>520105</v>
      </c>
      <c r="D287" s="474" t="s">
        <v>291</v>
      </c>
      <c r="E287" s="52"/>
      <c r="F287" s="279">
        <v>0</v>
      </c>
      <c r="G287" s="298"/>
      <c r="H287" s="170">
        <v>0</v>
      </c>
      <c r="I287" s="215">
        <v>0</v>
      </c>
      <c r="J287" s="215"/>
      <c r="K287" s="215">
        <f t="shared" si="256"/>
        <v>0</v>
      </c>
      <c r="L287" s="411"/>
      <c r="M287" s="139"/>
      <c r="N287" s="139"/>
      <c r="O287" s="139"/>
      <c r="P287" s="270"/>
      <c r="Q287" s="270"/>
      <c r="R287" s="270"/>
    </row>
    <row r="288" spans="1:18" s="5" customFormat="1" hidden="1" outlineLevel="4">
      <c r="A288" s="50" t="s">
        <v>136</v>
      </c>
      <c r="B288" s="44">
        <v>51113</v>
      </c>
      <c r="C288" s="472">
        <v>520106</v>
      </c>
      <c r="D288" s="473" t="s">
        <v>93</v>
      </c>
      <c r="E288" s="185"/>
      <c r="F288" s="279">
        <v>0</v>
      </c>
      <c r="G288" s="298"/>
      <c r="H288" s="170">
        <v>0</v>
      </c>
      <c r="I288" s="215">
        <v>0</v>
      </c>
      <c r="J288" s="215"/>
      <c r="K288" s="215">
        <f t="shared" si="256"/>
        <v>0</v>
      </c>
      <c r="L288" s="411"/>
      <c r="M288" s="139"/>
      <c r="N288" s="139"/>
      <c r="O288" s="139"/>
      <c r="P288" s="270"/>
      <c r="Q288" s="270"/>
      <c r="R288" s="270"/>
    </row>
    <row r="289" spans="1:19" s="5" customFormat="1" hidden="1" outlineLevel="4">
      <c r="A289" s="50"/>
      <c r="B289" s="44"/>
      <c r="C289" s="107">
        <v>520117</v>
      </c>
      <c r="D289" s="205" t="s">
        <v>516</v>
      </c>
      <c r="E289" s="138" t="s">
        <v>517</v>
      </c>
      <c r="F289" s="279"/>
      <c r="G289" s="381"/>
      <c r="H289" s="170">
        <v>0</v>
      </c>
      <c r="I289" s="215">
        <v>0</v>
      </c>
      <c r="J289" s="215"/>
      <c r="K289" s="215"/>
      <c r="L289" s="411">
        <f>100000+25000</f>
        <v>125000</v>
      </c>
      <c r="M289" s="139"/>
      <c r="N289" s="139"/>
      <c r="O289" s="139"/>
      <c r="P289" s="270">
        <v>100000</v>
      </c>
      <c r="Q289" s="270">
        <v>100000</v>
      </c>
      <c r="R289" s="270">
        <v>100000</v>
      </c>
    </row>
    <row r="290" spans="1:19" s="5" customFormat="1" hidden="1" outlineLevel="4">
      <c r="A290" s="50" t="s">
        <v>136</v>
      </c>
      <c r="B290" s="44"/>
      <c r="C290" s="133">
        <v>520119</v>
      </c>
      <c r="D290" s="205" t="s">
        <v>515</v>
      </c>
      <c r="E290" s="466" t="s">
        <v>518</v>
      </c>
      <c r="F290" s="279">
        <v>300000</v>
      </c>
      <c r="G290" s="381"/>
      <c r="H290" s="259">
        <v>0</v>
      </c>
      <c r="I290" s="217">
        <v>359225</v>
      </c>
      <c r="J290" s="259">
        <v>0</v>
      </c>
      <c r="K290" s="217">
        <f t="shared" si="256"/>
        <v>359225</v>
      </c>
      <c r="L290" s="532">
        <v>180000</v>
      </c>
      <c r="M290" s="217"/>
      <c r="N290" s="217"/>
      <c r="O290" s="217"/>
      <c r="P290" s="365">
        <v>180000</v>
      </c>
      <c r="Q290" s="365">
        <v>180000</v>
      </c>
      <c r="R290" s="365">
        <v>180000</v>
      </c>
    </row>
    <row r="291" spans="1:19" s="5" customFormat="1" hidden="1" outlineLevel="4">
      <c r="A291" s="50" t="s">
        <v>2</v>
      </c>
      <c r="B291" s="44">
        <v>51119</v>
      </c>
      <c r="C291" s="107">
        <v>520199</v>
      </c>
      <c r="D291" s="206" t="s">
        <v>135</v>
      </c>
      <c r="E291" s="185"/>
      <c r="F291" s="277">
        <f>SUM(F283:F290)</f>
        <v>300000</v>
      </c>
      <c r="G291" s="296">
        <v>300000</v>
      </c>
      <c r="H291" s="260">
        <v>360000</v>
      </c>
      <c r="I291" s="260">
        <f>SUM(I283:I290)</f>
        <v>359225</v>
      </c>
      <c r="J291" s="260">
        <f>SUM(J283:J290)</f>
        <v>0</v>
      </c>
      <c r="K291" s="215">
        <f t="shared" si="256"/>
        <v>359225</v>
      </c>
      <c r="L291" s="531">
        <f>SUM(L283:L290)</f>
        <v>305000</v>
      </c>
      <c r="M291" s="252"/>
      <c r="N291" s="252"/>
      <c r="O291" s="252"/>
      <c r="P291" s="271">
        <f>SUM(P283:P290)</f>
        <v>280000</v>
      </c>
      <c r="Q291" s="271">
        <f>SUM(Q283:Q290)</f>
        <v>280000</v>
      </c>
      <c r="R291" s="271">
        <f>SUM(R283:R290)</f>
        <v>280000</v>
      </c>
      <c r="S291" s="14"/>
    </row>
    <row r="292" spans="1:19" s="5" customFormat="1" outlineLevel="3">
      <c r="A292" s="50"/>
      <c r="B292" s="42"/>
      <c r="C292" s="134"/>
      <c r="D292" s="207"/>
      <c r="E292" s="185"/>
      <c r="F292" s="270"/>
      <c r="G292" s="296"/>
      <c r="H292" s="215"/>
      <c r="I292" s="215"/>
      <c r="J292" s="215"/>
      <c r="K292" s="215"/>
      <c r="L292" s="411"/>
      <c r="M292" s="139"/>
      <c r="N292" s="139"/>
      <c r="O292" s="139"/>
      <c r="P292" s="270"/>
      <c r="Q292" s="270"/>
      <c r="R292" s="270"/>
    </row>
    <row r="293" spans="1:19" s="5" customFormat="1" outlineLevel="3" collapsed="1">
      <c r="A293" s="50" t="s">
        <v>0</v>
      </c>
      <c r="B293" s="44"/>
      <c r="C293" s="130">
        <v>520200</v>
      </c>
      <c r="D293" s="208" t="s">
        <v>511</v>
      </c>
      <c r="E293" s="556" t="s">
        <v>510</v>
      </c>
      <c r="F293" s="278">
        <v>15000</v>
      </c>
      <c r="G293" s="298"/>
      <c r="H293" s="215">
        <f>H297</f>
        <v>98827</v>
      </c>
      <c r="I293" s="215">
        <f t="shared" ref="I293:K293" si="257">I297</f>
        <v>74028</v>
      </c>
      <c r="J293" s="215">
        <f t="shared" si="257"/>
        <v>0</v>
      </c>
      <c r="K293" s="215">
        <f t="shared" si="257"/>
        <v>74028</v>
      </c>
      <c r="L293" s="537">
        <f>L297</f>
        <v>26000</v>
      </c>
      <c r="M293" s="510"/>
      <c r="N293" s="510"/>
      <c r="O293" s="510"/>
      <c r="P293" s="401">
        <f>P297</f>
        <v>0</v>
      </c>
      <c r="Q293" s="401">
        <f>Q297</f>
        <v>0</v>
      </c>
      <c r="R293" s="401">
        <f>R297</f>
        <v>0</v>
      </c>
      <c r="S293" s="435"/>
    </row>
    <row r="294" spans="1:19" s="5" customFormat="1" hidden="1" outlineLevel="4">
      <c r="A294" s="50" t="s">
        <v>136</v>
      </c>
      <c r="B294" s="44">
        <v>51201</v>
      </c>
      <c r="C294" s="107">
        <v>520201</v>
      </c>
      <c r="D294" s="205" t="s">
        <v>507</v>
      </c>
      <c r="E294" s="464" t="s">
        <v>506</v>
      </c>
      <c r="F294" s="278">
        <v>27900</v>
      </c>
      <c r="G294" s="299">
        <v>30636</v>
      </c>
      <c r="H294" s="139">
        <v>0</v>
      </c>
      <c r="I294" s="213">
        <v>22424</v>
      </c>
      <c r="J294" s="170">
        <v>0</v>
      </c>
      <c r="K294" s="215">
        <f>I294+J294</f>
        <v>22424</v>
      </c>
      <c r="L294" s="541">
        <v>8000</v>
      </c>
      <c r="M294" s="145"/>
      <c r="N294" s="145"/>
      <c r="O294" s="145"/>
      <c r="P294" s="363">
        <v>0</v>
      </c>
      <c r="Q294" s="363">
        <v>0</v>
      </c>
      <c r="R294" s="363">
        <v>0</v>
      </c>
    </row>
    <row r="295" spans="1:19" s="5" customFormat="1" hidden="1" outlineLevel="4">
      <c r="A295" s="50" t="s">
        <v>136</v>
      </c>
      <c r="B295" s="44">
        <v>51202</v>
      </c>
      <c r="C295" s="107">
        <v>520202</v>
      </c>
      <c r="D295" s="205" t="s">
        <v>508</v>
      </c>
      <c r="E295" s="464" t="s">
        <v>506</v>
      </c>
      <c r="F295" s="278">
        <v>28000</v>
      </c>
      <c r="G295" s="299">
        <v>25564</v>
      </c>
      <c r="H295" s="139">
        <v>0</v>
      </c>
      <c r="I295" s="213">
        <v>25138</v>
      </c>
      <c r="J295" s="170">
        <v>0</v>
      </c>
      <c r="K295" s="215">
        <f>I295+J295</f>
        <v>25138</v>
      </c>
      <c r="L295" s="541">
        <v>8000</v>
      </c>
      <c r="M295" s="145"/>
      <c r="N295" s="145"/>
      <c r="O295" s="145"/>
      <c r="P295" s="363">
        <v>0</v>
      </c>
      <c r="Q295" s="363">
        <v>0</v>
      </c>
      <c r="R295" s="363">
        <v>0</v>
      </c>
    </row>
    <row r="296" spans="1:19" s="5" customFormat="1" ht="12.75" hidden="1" customHeight="1" outlineLevel="4">
      <c r="A296" s="50" t="s">
        <v>136</v>
      </c>
      <c r="B296" s="44"/>
      <c r="C296" s="133">
        <v>520203</v>
      </c>
      <c r="D296" s="205" t="s">
        <v>509</v>
      </c>
      <c r="E296" s="464" t="s">
        <v>506</v>
      </c>
      <c r="F296" s="368">
        <v>22032</v>
      </c>
      <c r="G296" s="463">
        <v>31553</v>
      </c>
      <c r="H296" s="217">
        <v>0</v>
      </c>
      <c r="I296" s="216">
        <v>26466</v>
      </c>
      <c r="J296" s="259">
        <v>0</v>
      </c>
      <c r="K296" s="217">
        <f>I296+J296</f>
        <v>26466</v>
      </c>
      <c r="L296" s="552">
        <v>10000</v>
      </c>
      <c r="M296" s="259"/>
      <c r="N296" s="259"/>
      <c r="O296" s="259"/>
      <c r="P296" s="376">
        <v>0</v>
      </c>
      <c r="Q296" s="376">
        <v>0</v>
      </c>
      <c r="R296" s="376">
        <v>0</v>
      </c>
    </row>
    <row r="297" spans="1:19" s="5" customFormat="1" hidden="1" outlineLevel="4">
      <c r="A297" s="50" t="s">
        <v>2</v>
      </c>
      <c r="B297" s="44"/>
      <c r="C297" s="130">
        <v>520299</v>
      </c>
      <c r="D297" s="206" t="s">
        <v>188</v>
      </c>
      <c r="E297" s="75"/>
      <c r="F297" s="277">
        <f>SUM(F293:F296)</f>
        <v>92932</v>
      </c>
      <c r="G297" s="296">
        <f>SUM(G294:G296)</f>
        <v>87753</v>
      </c>
      <c r="H297" s="252">
        <v>98827</v>
      </c>
      <c r="I297" s="252">
        <f>SUM(I294:I296)</f>
        <v>74028</v>
      </c>
      <c r="J297" s="252">
        <f>SUM(J294:J296)</f>
        <v>0</v>
      </c>
      <c r="K297" s="223">
        <f>I297+J297</f>
        <v>74028</v>
      </c>
      <c r="L297" s="531">
        <f>SUM(L294:L296)+L298</f>
        <v>26000</v>
      </c>
      <c r="M297" s="252"/>
      <c r="N297" s="252"/>
      <c r="O297" s="252"/>
      <c r="P297" s="271">
        <f>SUM(P294:P296)</f>
        <v>0</v>
      </c>
      <c r="Q297" s="271">
        <f>SUM(Q294:Q296)</f>
        <v>0</v>
      </c>
      <c r="R297" s="271">
        <f>SUM(R294:R296)</f>
        <v>0</v>
      </c>
    </row>
    <row r="298" spans="1:19" s="5" customFormat="1" ht="12.75" customHeight="1" outlineLevel="3">
      <c r="A298" s="50"/>
      <c r="B298" s="42"/>
      <c r="C298" s="134"/>
      <c r="D298" s="551"/>
      <c r="E298" s="185"/>
      <c r="F298" s="270"/>
      <c r="G298" s="298"/>
      <c r="H298" s="215"/>
      <c r="I298" s="213"/>
      <c r="J298" s="213"/>
      <c r="K298" s="215"/>
      <c r="L298" s="411"/>
      <c r="M298" s="139"/>
      <c r="N298" s="139"/>
      <c r="O298" s="139"/>
      <c r="P298" s="270"/>
      <c r="Q298" s="270"/>
      <c r="R298" s="270"/>
    </row>
    <row r="299" spans="1:19" s="5" customFormat="1" ht="15" customHeight="1" outlineLevel="3" collapsed="1">
      <c r="A299" s="50" t="s">
        <v>0</v>
      </c>
      <c r="B299" s="44"/>
      <c r="C299" s="130">
        <v>520300</v>
      </c>
      <c r="D299" s="208" t="s">
        <v>293</v>
      </c>
      <c r="E299" s="417"/>
      <c r="F299" s="270"/>
      <c r="G299" s="298"/>
      <c r="H299" s="215">
        <f>H315</f>
        <v>145900</v>
      </c>
      <c r="I299" s="215">
        <f t="shared" ref="I299:K299" si="258">I315</f>
        <v>91425</v>
      </c>
      <c r="J299" s="215">
        <f t="shared" si="258"/>
        <v>0</v>
      </c>
      <c r="K299" s="215">
        <f t="shared" si="258"/>
        <v>91425</v>
      </c>
      <c r="L299" s="537">
        <f>L315</f>
        <v>295969</v>
      </c>
      <c r="M299" s="510"/>
      <c r="N299" s="510"/>
      <c r="O299" s="510"/>
      <c r="P299" s="401">
        <f>P315</f>
        <v>295969</v>
      </c>
      <c r="Q299" s="561">
        <f>Q315</f>
        <v>295969</v>
      </c>
      <c r="R299" s="401">
        <f>R315</f>
        <v>295969</v>
      </c>
    </row>
    <row r="300" spans="1:19" s="5" customFormat="1" hidden="1" outlineLevel="4">
      <c r="A300" s="50" t="s">
        <v>136</v>
      </c>
      <c r="B300" s="44">
        <v>51301</v>
      </c>
      <c r="C300" s="472">
        <v>520301</v>
      </c>
      <c r="D300" s="473" t="s">
        <v>196</v>
      </c>
      <c r="E300" s="75"/>
      <c r="F300" s="278">
        <f>27900+(12650-54*150)+9000</f>
        <v>41450</v>
      </c>
      <c r="G300" s="299">
        <v>32925</v>
      </c>
      <c r="H300" s="215">
        <v>0</v>
      </c>
      <c r="I300" s="215"/>
      <c r="J300" s="215"/>
      <c r="K300" s="215">
        <f>I300+J300</f>
        <v>0</v>
      </c>
      <c r="L300" s="411">
        <f t="shared" ref="L300:R309" si="259">SUM(K300)</f>
        <v>0</v>
      </c>
      <c r="M300" s="139"/>
      <c r="N300" s="139"/>
      <c r="O300" s="139"/>
      <c r="P300" s="270">
        <f>SUM(L300)</f>
        <v>0</v>
      </c>
      <c r="Q300" s="270">
        <f t="shared" si="259"/>
        <v>0</v>
      </c>
      <c r="R300" s="270">
        <f t="shared" si="259"/>
        <v>0</v>
      </c>
    </row>
    <row r="301" spans="1:19" s="5" customFormat="1" ht="15" hidden="1" customHeight="1" outlineLevel="4">
      <c r="A301" s="50" t="s">
        <v>136</v>
      </c>
      <c r="B301" s="44">
        <v>51302</v>
      </c>
      <c r="C301" s="472">
        <v>520302</v>
      </c>
      <c r="D301" s="473" t="s">
        <v>197</v>
      </c>
      <c r="E301" s="75"/>
      <c r="F301" s="278">
        <f>24000+(54*150)</f>
        <v>32100</v>
      </c>
      <c r="G301" s="299">
        <v>30458</v>
      </c>
      <c r="H301" s="215">
        <v>0</v>
      </c>
      <c r="I301" s="215"/>
      <c r="J301" s="215"/>
      <c r="K301" s="215">
        <f>I301+J301</f>
        <v>0</v>
      </c>
      <c r="L301" s="411">
        <f t="shared" si="259"/>
        <v>0</v>
      </c>
      <c r="M301" s="139"/>
      <c r="N301" s="139"/>
      <c r="O301" s="139"/>
      <c r="P301" s="270">
        <f>SUM(L301)</f>
        <v>0</v>
      </c>
      <c r="Q301" s="270">
        <f t="shared" si="259"/>
        <v>0</v>
      </c>
      <c r="R301" s="270">
        <f t="shared" si="259"/>
        <v>0</v>
      </c>
    </row>
    <row r="302" spans="1:19" s="5" customFormat="1" hidden="1" outlineLevel="4">
      <c r="A302" s="50" t="s">
        <v>136</v>
      </c>
      <c r="B302" s="44">
        <v>51303</v>
      </c>
      <c r="C302" s="472">
        <v>520303</v>
      </c>
      <c r="D302" s="473" t="s">
        <v>286</v>
      </c>
      <c r="E302" s="139"/>
      <c r="F302" s="278">
        <v>9000</v>
      </c>
      <c r="G302" s="299">
        <v>7762</v>
      </c>
      <c r="H302" s="215">
        <v>0</v>
      </c>
      <c r="I302" s="215"/>
      <c r="J302" s="215"/>
      <c r="K302" s="215">
        <f>I302+J302</f>
        <v>0</v>
      </c>
      <c r="L302" s="411">
        <f t="shared" si="259"/>
        <v>0</v>
      </c>
      <c r="M302" s="139"/>
      <c r="N302" s="139"/>
      <c r="O302" s="139"/>
      <c r="P302" s="270">
        <f>SUM(L302)</f>
        <v>0</v>
      </c>
      <c r="Q302" s="270">
        <f t="shared" si="259"/>
        <v>0</v>
      </c>
      <c r="R302" s="270">
        <f t="shared" si="259"/>
        <v>0</v>
      </c>
    </row>
    <row r="303" spans="1:19" s="5" customFormat="1" hidden="1" outlineLevel="4">
      <c r="A303" s="50" t="s">
        <v>136</v>
      </c>
      <c r="B303" s="44">
        <v>51304</v>
      </c>
      <c r="C303" s="472">
        <v>520304</v>
      </c>
      <c r="D303" s="473" t="s">
        <v>287</v>
      </c>
      <c r="E303" s="187"/>
      <c r="F303" s="278">
        <v>1800</v>
      </c>
      <c r="G303" s="298">
        <v>453</v>
      </c>
      <c r="H303" s="215">
        <v>0</v>
      </c>
      <c r="I303" s="215">
        <v>5364</v>
      </c>
      <c r="J303" s="215"/>
      <c r="K303" s="215">
        <f>I303+J303</f>
        <v>5364</v>
      </c>
      <c r="L303" s="411">
        <v>0</v>
      </c>
      <c r="M303" s="139"/>
      <c r="N303" s="139"/>
      <c r="O303" s="139"/>
      <c r="P303" s="270">
        <v>0</v>
      </c>
      <c r="Q303" s="270">
        <v>0</v>
      </c>
      <c r="R303" s="270">
        <v>0</v>
      </c>
    </row>
    <row r="304" spans="1:19" s="5" customFormat="1" hidden="1" outlineLevel="4">
      <c r="A304" s="50" t="s">
        <v>136</v>
      </c>
      <c r="B304" s="44">
        <v>51305</v>
      </c>
      <c r="C304" s="472">
        <v>520305</v>
      </c>
      <c r="D304" s="473" t="s">
        <v>94</v>
      </c>
      <c r="E304" s="187"/>
      <c r="F304" s="278">
        <v>9000</v>
      </c>
      <c r="G304" s="298">
        <v>604</v>
      </c>
      <c r="H304" s="215">
        <v>0</v>
      </c>
      <c r="I304" s="215"/>
      <c r="J304" s="215"/>
      <c r="K304" s="215">
        <f>I304+J304</f>
        <v>0</v>
      </c>
      <c r="L304" s="411">
        <f t="shared" si="259"/>
        <v>0</v>
      </c>
      <c r="M304" s="139"/>
      <c r="N304" s="139"/>
      <c r="O304" s="139"/>
      <c r="P304" s="270">
        <f t="shared" ref="P304:P309" si="260">SUM(L304)</f>
        <v>0</v>
      </c>
      <c r="Q304" s="270">
        <f t="shared" si="259"/>
        <v>0</v>
      </c>
      <c r="R304" s="270">
        <f t="shared" si="259"/>
        <v>0</v>
      </c>
    </row>
    <row r="305" spans="1:27" s="5" customFormat="1" hidden="1" outlineLevel="4">
      <c r="A305" s="50" t="s">
        <v>136</v>
      </c>
      <c r="B305" s="44">
        <v>51311</v>
      </c>
      <c r="C305" s="472">
        <v>520311</v>
      </c>
      <c r="D305" s="473" t="s">
        <v>97</v>
      </c>
      <c r="E305" s="369"/>
      <c r="F305" s="368">
        <v>0</v>
      </c>
      <c r="G305" s="298">
        <v>0</v>
      </c>
      <c r="H305" s="215">
        <v>0</v>
      </c>
      <c r="I305" s="215"/>
      <c r="J305" s="215"/>
      <c r="K305" s="215">
        <f t="shared" ref="K305:K315" si="261">I305+J305</f>
        <v>0</v>
      </c>
      <c r="L305" s="411">
        <f t="shared" si="259"/>
        <v>0</v>
      </c>
      <c r="M305" s="139"/>
      <c r="N305" s="139"/>
      <c r="O305" s="139"/>
      <c r="P305" s="270">
        <f t="shared" si="260"/>
        <v>0</v>
      </c>
      <c r="Q305" s="270">
        <f t="shared" si="259"/>
        <v>0</v>
      </c>
      <c r="R305" s="270">
        <f t="shared" si="259"/>
        <v>0</v>
      </c>
    </row>
    <row r="306" spans="1:27" s="5" customFormat="1" hidden="1" outlineLevel="4">
      <c r="A306" s="50" t="s">
        <v>136</v>
      </c>
      <c r="B306" s="44">
        <v>51312</v>
      </c>
      <c r="C306" s="472">
        <v>520312</v>
      </c>
      <c r="D306" s="473" t="s">
        <v>95</v>
      </c>
      <c r="E306" s="369"/>
      <c r="F306" s="368">
        <v>0</v>
      </c>
      <c r="G306" s="298">
        <v>0</v>
      </c>
      <c r="H306" s="215">
        <v>0</v>
      </c>
      <c r="I306" s="215"/>
      <c r="J306" s="215"/>
      <c r="K306" s="215">
        <f t="shared" si="261"/>
        <v>0</v>
      </c>
      <c r="L306" s="411">
        <f t="shared" si="259"/>
        <v>0</v>
      </c>
      <c r="M306" s="139"/>
      <c r="N306" s="139"/>
      <c r="O306" s="139"/>
      <c r="P306" s="270">
        <f t="shared" si="260"/>
        <v>0</v>
      </c>
      <c r="Q306" s="270">
        <f t="shared" si="259"/>
        <v>0</v>
      </c>
      <c r="R306" s="270">
        <f t="shared" si="259"/>
        <v>0</v>
      </c>
    </row>
    <row r="307" spans="1:27" s="5" customFormat="1" hidden="1" outlineLevel="4">
      <c r="A307" s="50" t="s">
        <v>136</v>
      </c>
      <c r="B307" s="44">
        <v>51313</v>
      </c>
      <c r="C307" s="472">
        <v>520313</v>
      </c>
      <c r="D307" s="473" t="s">
        <v>96</v>
      </c>
      <c r="E307" s="369"/>
      <c r="F307" s="368">
        <v>0</v>
      </c>
      <c r="G307" s="298">
        <v>0</v>
      </c>
      <c r="H307" s="215">
        <v>0</v>
      </c>
      <c r="I307" s="215"/>
      <c r="J307" s="215"/>
      <c r="K307" s="215">
        <f t="shared" si="261"/>
        <v>0</v>
      </c>
      <c r="L307" s="411">
        <f t="shared" si="259"/>
        <v>0</v>
      </c>
      <c r="M307" s="139"/>
      <c r="N307" s="139"/>
      <c r="O307" s="139"/>
      <c r="P307" s="270">
        <f t="shared" si="260"/>
        <v>0</v>
      </c>
      <c r="Q307" s="270">
        <f t="shared" si="259"/>
        <v>0</v>
      </c>
      <c r="R307" s="270">
        <f t="shared" si="259"/>
        <v>0</v>
      </c>
    </row>
    <row r="308" spans="1:27" s="5" customFormat="1" hidden="1" outlineLevel="4">
      <c r="A308" s="50" t="s">
        <v>136</v>
      </c>
      <c r="B308" s="44">
        <v>51322</v>
      </c>
      <c r="C308" s="472">
        <v>520322</v>
      </c>
      <c r="D308" s="473" t="s">
        <v>98</v>
      </c>
      <c r="E308" s="86"/>
      <c r="F308" s="278">
        <v>0</v>
      </c>
      <c r="G308" s="298">
        <v>0</v>
      </c>
      <c r="H308" s="215">
        <v>0</v>
      </c>
      <c r="I308" s="215"/>
      <c r="J308" s="215"/>
      <c r="K308" s="215">
        <f t="shared" si="261"/>
        <v>0</v>
      </c>
      <c r="L308" s="411">
        <f t="shared" si="259"/>
        <v>0</v>
      </c>
      <c r="M308" s="139"/>
      <c r="N308" s="139"/>
      <c r="O308" s="139"/>
      <c r="P308" s="270">
        <f t="shared" si="260"/>
        <v>0</v>
      </c>
      <c r="Q308" s="270">
        <f t="shared" si="259"/>
        <v>0</v>
      </c>
      <c r="R308" s="270">
        <f t="shared" si="259"/>
        <v>0</v>
      </c>
    </row>
    <row r="309" spans="1:27" s="5" customFormat="1" hidden="1" outlineLevel="4">
      <c r="A309" s="50" t="s">
        <v>136</v>
      </c>
      <c r="B309" s="44">
        <v>51324</v>
      </c>
      <c r="C309" s="472">
        <v>520324</v>
      </c>
      <c r="D309" s="473" t="s">
        <v>99</v>
      </c>
      <c r="E309" s="86"/>
      <c r="F309" s="278">
        <v>0</v>
      </c>
      <c r="G309" s="298">
        <v>0</v>
      </c>
      <c r="H309" s="215">
        <v>0</v>
      </c>
      <c r="I309" s="215"/>
      <c r="J309" s="215"/>
      <c r="K309" s="215">
        <f t="shared" si="261"/>
        <v>0</v>
      </c>
      <c r="L309" s="411">
        <f t="shared" si="259"/>
        <v>0</v>
      </c>
      <c r="M309" s="139"/>
      <c r="N309" s="139"/>
      <c r="O309" s="139"/>
      <c r="P309" s="270">
        <f t="shared" si="260"/>
        <v>0</v>
      </c>
      <c r="Q309" s="270">
        <f t="shared" si="259"/>
        <v>0</v>
      </c>
      <c r="R309" s="270">
        <f t="shared" si="259"/>
        <v>0</v>
      </c>
    </row>
    <row r="310" spans="1:27" s="5" customFormat="1" hidden="1" outlineLevel="4">
      <c r="A310" s="50" t="s">
        <v>136</v>
      </c>
      <c r="B310" s="44">
        <v>51326</v>
      </c>
      <c r="C310" s="107">
        <v>520326</v>
      </c>
      <c r="D310" s="205" t="s">
        <v>520</v>
      </c>
      <c r="E310" s="468" t="s">
        <v>519</v>
      </c>
      <c r="F310" s="278">
        <f>20000+16000</f>
        <v>36000</v>
      </c>
      <c r="G310" s="299">
        <v>7546</v>
      </c>
      <c r="H310" s="215">
        <v>0</v>
      </c>
      <c r="I310" s="215">
        <v>21453</v>
      </c>
      <c r="J310" s="215"/>
      <c r="K310" s="215">
        <f t="shared" si="261"/>
        <v>21453</v>
      </c>
      <c r="L310" s="411">
        <v>101000</v>
      </c>
      <c r="M310" s="139"/>
      <c r="N310" s="139"/>
      <c r="O310" s="139"/>
      <c r="P310" s="270">
        <v>101000</v>
      </c>
      <c r="Q310" s="270">
        <v>101000</v>
      </c>
      <c r="R310" s="270">
        <v>101000</v>
      </c>
      <c r="S310" s="12"/>
      <c r="T310" s="158"/>
      <c r="U310" s="278">
        <v>0</v>
      </c>
      <c r="V310" s="298">
        <v>0</v>
      </c>
      <c r="W310" s="215">
        <v>35000</v>
      </c>
      <c r="X310" s="213">
        <v>55324</v>
      </c>
      <c r="Y310" s="215"/>
      <c r="Z310" s="213">
        <f>X310+Y310</f>
        <v>55324</v>
      </c>
      <c r="AA310" s="270">
        <v>32000</v>
      </c>
    </row>
    <row r="311" spans="1:27" s="5" customFormat="1" hidden="1" outlineLevel="4">
      <c r="A311" s="50"/>
      <c r="B311" s="44"/>
      <c r="C311" s="107">
        <v>520332</v>
      </c>
      <c r="D311" s="205" t="s">
        <v>513</v>
      </c>
      <c r="E311" s="468" t="s">
        <v>519</v>
      </c>
      <c r="F311" s="278"/>
      <c r="G311" s="299"/>
      <c r="H311" s="215"/>
      <c r="I311" s="215"/>
      <c r="J311" s="215"/>
      <c r="K311" s="215"/>
      <c r="L311" s="411">
        <v>39836</v>
      </c>
      <c r="M311" s="139"/>
      <c r="N311" s="139"/>
      <c r="O311" s="139"/>
      <c r="P311" s="270">
        <v>39836</v>
      </c>
      <c r="Q311" s="270">
        <v>39836</v>
      </c>
      <c r="R311" s="270">
        <v>39836</v>
      </c>
      <c r="S311" s="12"/>
      <c r="T311" s="158"/>
      <c r="U311" s="278">
        <v>40000</v>
      </c>
      <c r="V311" s="298">
        <v>31966</v>
      </c>
      <c r="W311" s="215">
        <v>38000</v>
      </c>
      <c r="X311" s="213">
        <v>16256</v>
      </c>
      <c r="Y311" s="215"/>
      <c r="Z311" s="213">
        <f>X311+Y311</f>
        <v>16256</v>
      </c>
      <c r="AA311" s="270">
        <v>18000</v>
      </c>
    </row>
    <row r="312" spans="1:27" s="5" customFormat="1" hidden="1" outlineLevel="4">
      <c r="A312" s="50"/>
      <c r="B312" s="44"/>
      <c r="C312" s="107">
        <v>520334</v>
      </c>
      <c r="D312" s="205" t="s">
        <v>514</v>
      </c>
      <c r="E312" s="468" t="s">
        <v>519</v>
      </c>
      <c r="F312" s="278"/>
      <c r="G312" s="299"/>
      <c r="H312" s="215"/>
      <c r="I312" s="215"/>
      <c r="J312" s="215"/>
      <c r="K312" s="215"/>
      <c r="L312" s="411">
        <f>59533-4200</f>
        <v>55333</v>
      </c>
      <c r="M312" s="139"/>
      <c r="N312" s="139"/>
      <c r="O312" s="139"/>
      <c r="P312" s="411">
        <f>59533-4200</f>
        <v>55333</v>
      </c>
      <c r="Q312" s="411">
        <f>59533-4200</f>
        <v>55333</v>
      </c>
      <c r="R312" s="270">
        <f>59533-4200</f>
        <v>55333</v>
      </c>
      <c r="S312" s="555"/>
    </row>
    <row r="313" spans="1:27" s="5" customFormat="1" hidden="1" outlineLevel="4">
      <c r="A313" s="50"/>
      <c r="B313" s="44"/>
      <c r="C313" s="472">
        <v>520336</v>
      </c>
      <c r="D313" s="473" t="s">
        <v>465</v>
      </c>
      <c r="E313" s="86"/>
      <c r="F313" s="278"/>
      <c r="G313" s="299"/>
      <c r="H313" s="215">
        <v>0</v>
      </c>
      <c r="I313" s="215">
        <v>37500</v>
      </c>
      <c r="J313" s="215">
        <v>0</v>
      </c>
      <c r="K313" s="215">
        <f t="shared" si="261"/>
        <v>37500</v>
      </c>
      <c r="L313" s="411">
        <v>0</v>
      </c>
      <c r="M313" s="139"/>
      <c r="N313" s="139"/>
      <c r="O313" s="139"/>
      <c r="P313" s="270">
        <v>0</v>
      </c>
      <c r="Q313" s="270">
        <v>0</v>
      </c>
      <c r="R313" s="270">
        <v>0</v>
      </c>
      <c r="S313" s="467"/>
    </row>
    <row r="314" spans="1:27" s="5" customFormat="1" hidden="1" outlineLevel="4">
      <c r="A314" s="50" t="s">
        <v>136</v>
      </c>
      <c r="B314" s="44"/>
      <c r="C314" s="133">
        <v>520338</v>
      </c>
      <c r="D314" s="205" t="s">
        <v>512</v>
      </c>
      <c r="E314" s="469" t="s">
        <v>519</v>
      </c>
      <c r="F314" s="278">
        <f>22200+35000</f>
        <v>57200</v>
      </c>
      <c r="G314" s="463">
        <v>46012</v>
      </c>
      <c r="H314" s="217">
        <v>0</v>
      </c>
      <c r="I314" s="217">
        <v>27108</v>
      </c>
      <c r="J314" s="217">
        <v>0</v>
      </c>
      <c r="K314" s="217">
        <f t="shared" si="261"/>
        <v>27108</v>
      </c>
      <c r="L314" s="532">
        <v>99800</v>
      </c>
      <c r="M314" s="217"/>
      <c r="N314" s="217"/>
      <c r="O314" s="217"/>
      <c r="P314" s="365">
        <v>99800</v>
      </c>
      <c r="Q314" s="365">
        <v>99800</v>
      </c>
      <c r="R314" s="365">
        <v>99800</v>
      </c>
    </row>
    <row r="315" spans="1:27" s="5" customFormat="1" hidden="1" outlineLevel="4">
      <c r="A315" s="50" t="s">
        <v>2</v>
      </c>
      <c r="B315" s="44">
        <v>51339</v>
      </c>
      <c r="C315" s="130">
        <v>520399</v>
      </c>
      <c r="D315" s="206" t="s">
        <v>294</v>
      </c>
      <c r="E315" s="86"/>
      <c r="F315" s="283">
        <f>SUM(F300:F314)</f>
        <v>186550</v>
      </c>
      <c r="G315" s="296">
        <f>SUM(G300:G314)</f>
        <v>125760</v>
      </c>
      <c r="H315" s="261">
        <v>145900</v>
      </c>
      <c r="I315" s="261">
        <f>SUM(I300:I314)</f>
        <v>91425</v>
      </c>
      <c r="J315" s="261">
        <f>SUM(J300:J314)</f>
        <v>0</v>
      </c>
      <c r="K315" s="215">
        <f t="shared" si="261"/>
        <v>91425</v>
      </c>
      <c r="L315" s="549">
        <f>SUM(L300:L314)</f>
        <v>295969</v>
      </c>
      <c r="M315" s="261"/>
      <c r="N315" s="261"/>
      <c r="O315" s="261"/>
      <c r="P315" s="272">
        <f>SUM(P300:P314)</f>
        <v>295969</v>
      </c>
      <c r="Q315" s="272">
        <f>SUM(Q300:Q314)</f>
        <v>295969</v>
      </c>
      <c r="R315" s="272">
        <f>SUM(R300:R314)</f>
        <v>295969</v>
      </c>
    </row>
    <row r="316" spans="1:27" s="5" customFormat="1" outlineLevel="3">
      <c r="A316" s="50"/>
      <c r="B316" s="42"/>
      <c r="C316" s="134"/>
      <c r="D316" s="207"/>
      <c r="E316" s="86"/>
      <c r="F316" s="284"/>
      <c r="G316" s="298"/>
      <c r="H316" s="215"/>
      <c r="I316" s="215"/>
      <c r="J316" s="215"/>
      <c r="K316" s="215"/>
      <c r="L316" s="411"/>
      <c r="M316" s="139"/>
      <c r="N316" s="139"/>
      <c r="O316" s="139"/>
      <c r="P316" s="270"/>
      <c r="Q316" s="270"/>
      <c r="R316" s="270"/>
    </row>
    <row r="317" spans="1:27" s="5" customFormat="1" outlineLevel="3" collapsed="1">
      <c r="A317" s="50" t="s">
        <v>0</v>
      </c>
      <c r="B317" s="44"/>
      <c r="C317" s="130">
        <v>520400</v>
      </c>
      <c r="D317" s="208" t="s">
        <v>275</v>
      </c>
      <c r="E317" s="144" t="s">
        <v>410</v>
      </c>
      <c r="F317" s="270"/>
      <c r="G317" s="298"/>
      <c r="H317" s="215">
        <f>H321</f>
        <v>0</v>
      </c>
      <c r="I317" s="215">
        <f t="shared" ref="I317:R317" si="262">I321</f>
        <v>0</v>
      </c>
      <c r="J317" s="215">
        <f t="shared" si="262"/>
        <v>0</v>
      </c>
      <c r="K317" s="215">
        <f t="shared" si="262"/>
        <v>0</v>
      </c>
      <c r="L317" s="411">
        <f t="shared" si="262"/>
        <v>0</v>
      </c>
      <c r="M317" s="139"/>
      <c r="N317" s="139"/>
      <c r="O317" s="303"/>
      <c r="P317" s="411">
        <f t="shared" si="262"/>
        <v>0</v>
      </c>
      <c r="Q317" s="411">
        <f t="shared" si="262"/>
        <v>0</v>
      </c>
      <c r="R317" s="215">
        <f t="shared" si="262"/>
        <v>0</v>
      </c>
    </row>
    <row r="318" spans="1:27" s="5" customFormat="1" hidden="1" outlineLevel="4">
      <c r="A318" s="50" t="s">
        <v>136</v>
      </c>
      <c r="B318" s="44">
        <v>51401</v>
      </c>
      <c r="C318" s="107">
        <v>520401</v>
      </c>
      <c r="D318" s="205" t="s">
        <v>284</v>
      </c>
      <c r="E318" s="185"/>
      <c r="F318" s="278">
        <v>20816.666666666668</v>
      </c>
      <c r="G318" s="298">
        <v>20037</v>
      </c>
      <c r="H318" s="215">
        <v>0</v>
      </c>
      <c r="I318" s="215">
        <v>0</v>
      </c>
      <c r="J318" s="215">
        <v>0</v>
      </c>
      <c r="K318" s="215">
        <f>I318+J318</f>
        <v>0</v>
      </c>
      <c r="L318" s="411">
        <v>0</v>
      </c>
      <c r="M318" s="139"/>
      <c r="N318" s="139"/>
      <c r="O318" s="139"/>
      <c r="P318" s="270">
        <v>0</v>
      </c>
      <c r="Q318" s="270">
        <v>0</v>
      </c>
      <c r="R318" s="270">
        <v>0</v>
      </c>
    </row>
    <row r="319" spans="1:27" s="5" customFormat="1" hidden="1" outlineLevel="4">
      <c r="A319" s="50" t="s">
        <v>136</v>
      </c>
      <c r="B319" s="44">
        <v>51403</v>
      </c>
      <c r="C319" s="107">
        <v>520403</v>
      </c>
      <c r="D319" s="205" t="s">
        <v>285</v>
      </c>
      <c r="E319" s="185"/>
      <c r="F319" s="278">
        <v>840</v>
      </c>
      <c r="G319" s="298">
        <v>0</v>
      </c>
      <c r="H319" s="215">
        <v>0</v>
      </c>
      <c r="I319" s="215">
        <v>0</v>
      </c>
      <c r="J319" s="215">
        <v>0</v>
      </c>
      <c r="K319" s="215">
        <f>I319+J319</f>
        <v>0</v>
      </c>
      <c r="L319" s="411">
        <v>0</v>
      </c>
      <c r="M319" s="139"/>
      <c r="N319" s="139"/>
      <c r="O319" s="139"/>
      <c r="P319" s="270">
        <v>0</v>
      </c>
      <c r="Q319" s="270">
        <v>0</v>
      </c>
      <c r="R319" s="270">
        <v>0</v>
      </c>
    </row>
    <row r="320" spans="1:27" s="5" customFormat="1" hidden="1" outlineLevel="4">
      <c r="A320" s="50" t="s">
        <v>136</v>
      </c>
      <c r="B320" s="44">
        <v>51405</v>
      </c>
      <c r="C320" s="107">
        <v>520405</v>
      </c>
      <c r="D320" s="205" t="s">
        <v>288</v>
      </c>
      <c r="E320" s="185"/>
      <c r="F320" s="278">
        <v>7000</v>
      </c>
      <c r="G320" s="298">
        <v>8965</v>
      </c>
      <c r="H320" s="215">
        <v>0</v>
      </c>
      <c r="I320" s="215">
        <v>0</v>
      </c>
      <c r="J320" s="215">
        <v>0</v>
      </c>
      <c r="K320" s="215">
        <f>I320+J320</f>
        <v>0</v>
      </c>
      <c r="L320" s="411">
        <v>0</v>
      </c>
      <c r="M320" s="139"/>
      <c r="N320" s="139"/>
      <c r="O320" s="139"/>
      <c r="P320" s="270">
        <v>0</v>
      </c>
      <c r="Q320" s="270">
        <v>0</v>
      </c>
      <c r="R320" s="270">
        <v>0</v>
      </c>
    </row>
    <row r="321" spans="1:21" s="5" customFormat="1" hidden="1" outlineLevel="4">
      <c r="A321" s="50" t="s">
        <v>2</v>
      </c>
      <c r="B321" s="44">
        <v>51449</v>
      </c>
      <c r="C321" s="130">
        <v>520499</v>
      </c>
      <c r="D321" s="206" t="s">
        <v>137</v>
      </c>
      <c r="E321" s="185"/>
      <c r="F321" s="277">
        <f>SUM(F318:F320)</f>
        <v>28656.666666666668</v>
      </c>
      <c r="G321" s="296">
        <f>SUM(G318:G320)</f>
        <v>29002</v>
      </c>
      <c r="H321" s="252">
        <f>SUM(H318:H320)</f>
        <v>0</v>
      </c>
      <c r="I321" s="252">
        <f t="shared" ref="I321:J321" si="263">SUM(I318:I320)</f>
        <v>0</v>
      </c>
      <c r="J321" s="252">
        <f t="shared" si="263"/>
        <v>0</v>
      </c>
      <c r="K321" s="215">
        <f>I321+J321</f>
        <v>0</v>
      </c>
      <c r="L321" s="531">
        <f>SUM(L318:L320)</f>
        <v>0</v>
      </c>
      <c r="M321" s="252"/>
      <c r="N321" s="252"/>
      <c r="O321" s="252"/>
      <c r="P321" s="271">
        <f>SUM(P318:P320)</f>
        <v>0</v>
      </c>
      <c r="Q321" s="271">
        <f>SUM(Q318:Q320)</f>
        <v>0</v>
      </c>
      <c r="R321" s="271">
        <f>SUM(R318:R320)</f>
        <v>0</v>
      </c>
    </row>
    <row r="322" spans="1:21" s="5" customFormat="1" outlineLevel="3">
      <c r="A322" s="50"/>
      <c r="B322" s="44"/>
      <c r="C322" s="130"/>
      <c r="D322" s="206"/>
      <c r="E322" s="185"/>
      <c r="F322" s="277"/>
      <c r="G322" s="296"/>
      <c r="H322" s="252"/>
      <c r="I322" s="252"/>
      <c r="J322" s="252"/>
      <c r="K322" s="215"/>
      <c r="L322" s="531"/>
      <c r="M322" s="252"/>
      <c r="N322" s="252"/>
      <c r="O322" s="252"/>
      <c r="P322" s="271"/>
      <c r="Q322" s="271"/>
      <c r="R322" s="271"/>
    </row>
    <row r="323" spans="1:21" s="5" customFormat="1" outlineLevel="3">
      <c r="A323" s="50"/>
      <c r="B323" s="44"/>
      <c r="C323" s="471">
        <v>520499</v>
      </c>
      <c r="D323" s="206" t="s">
        <v>451</v>
      </c>
      <c r="E323" s="417"/>
      <c r="F323" s="277"/>
      <c r="G323" s="296"/>
      <c r="H323" s="252">
        <f>H282+H293+H299</f>
        <v>604727</v>
      </c>
      <c r="I323" s="252">
        <f>I282+I293+I299</f>
        <v>524678</v>
      </c>
      <c r="J323" s="252">
        <f>J282+J293+J299</f>
        <v>0</v>
      </c>
      <c r="K323" s="252">
        <f>K282+K293+K299</f>
        <v>524678</v>
      </c>
      <c r="L323" s="531">
        <f>L291+L297+L315+L321</f>
        <v>626969</v>
      </c>
      <c r="M323" s="252"/>
      <c r="N323" s="252"/>
      <c r="O323" s="252"/>
      <c r="P323" s="271">
        <f>P291+P297+P315+P321</f>
        <v>575969</v>
      </c>
      <c r="Q323" s="271">
        <f>Q291+Q297+Q315+Q321</f>
        <v>575969</v>
      </c>
      <c r="R323" s="271">
        <f>R291+R297+R315+R321</f>
        <v>575969</v>
      </c>
    </row>
    <row r="324" spans="1:21" s="5" customFormat="1" ht="9" customHeight="1" outlineLevel="2">
      <c r="A324" s="50"/>
      <c r="B324" s="44"/>
      <c r="C324" s="130"/>
      <c r="D324" s="206"/>
      <c r="E324" s="185"/>
      <c r="F324" s="277"/>
      <c r="G324" s="296"/>
      <c r="H324" s="252"/>
      <c r="I324" s="252"/>
      <c r="J324" s="252"/>
      <c r="K324" s="215"/>
      <c r="L324" s="531"/>
      <c r="M324" s="252"/>
      <c r="N324" s="252"/>
      <c r="O324" s="252"/>
      <c r="P324" s="271"/>
      <c r="Q324" s="271"/>
      <c r="R324" s="271"/>
    </row>
    <row r="325" spans="1:21" s="5" customFormat="1" outlineLevel="2">
      <c r="A325" s="50"/>
      <c r="B325" s="44"/>
      <c r="C325" s="470">
        <v>520500</v>
      </c>
      <c r="D325" s="397" t="s">
        <v>442</v>
      </c>
      <c r="E325" s="415" t="s">
        <v>464</v>
      </c>
      <c r="F325" s="277"/>
      <c r="G325" s="296"/>
      <c r="H325" s="252"/>
      <c r="I325" s="252"/>
      <c r="J325" s="252"/>
      <c r="K325" s="215"/>
      <c r="L325" s="411">
        <f>L328</f>
        <v>390000</v>
      </c>
      <c r="M325" s="139"/>
      <c r="N325" s="139"/>
      <c r="O325" s="139"/>
      <c r="P325" s="270">
        <f>P328</f>
        <v>390000</v>
      </c>
      <c r="Q325" s="270">
        <f t="shared" ref="Q325:R325" si="264">Q328</f>
        <v>390000</v>
      </c>
      <c r="R325" s="270">
        <f t="shared" si="264"/>
        <v>390000</v>
      </c>
    </row>
    <row r="326" spans="1:21" s="5" customFormat="1" outlineLevel="3">
      <c r="A326" s="50"/>
      <c r="B326" s="44"/>
      <c r="C326" s="133">
        <v>520501</v>
      </c>
      <c r="D326" s="192" t="s">
        <v>443</v>
      </c>
      <c r="E326" s="50"/>
      <c r="F326" s="270"/>
      <c r="G326" s="381"/>
      <c r="H326" s="187"/>
      <c r="I326" s="187"/>
      <c r="J326" s="379"/>
      <c r="K326" s="139"/>
      <c r="L326" s="414">
        <v>350000</v>
      </c>
      <c r="M326" s="86"/>
      <c r="N326" s="86"/>
      <c r="O326" s="86"/>
      <c r="P326" s="374">
        <v>350000</v>
      </c>
      <c r="Q326" s="374">
        <v>350000</v>
      </c>
      <c r="R326" s="374">
        <v>350000</v>
      </c>
    </row>
    <row r="327" spans="1:21" s="5" customFormat="1" outlineLevel="3">
      <c r="A327" s="50"/>
      <c r="B327" s="44"/>
      <c r="C327" s="133">
        <v>520504</v>
      </c>
      <c r="D327" s="192" t="s">
        <v>409</v>
      </c>
      <c r="E327" s="33"/>
      <c r="F327" s="270"/>
      <c r="G327" s="381"/>
      <c r="H327" s="216"/>
      <c r="I327" s="216"/>
      <c r="J327" s="356"/>
      <c r="K327" s="366"/>
      <c r="L327" s="550">
        <v>40000</v>
      </c>
      <c r="M327" s="517"/>
      <c r="N327" s="517"/>
      <c r="O327" s="517"/>
      <c r="P327" s="412">
        <v>40000</v>
      </c>
      <c r="Q327" s="412">
        <v>40000</v>
      </c>
      <c r="R327" s="412">
        <v>40000</v>
      </c>
    </row>
    <row r="328" spans="1:21" s="5" customFormat="1" outlineLevel="3">
      <c r="A328" s="50"/>
      <c r="B328" s="44"/>
      <c r="C328" s="135">
        <v>520509</v>
      </c>
      <c r="D328" s="203" t="s">
        <v>463</v>
      </c>
      <c r="E328" s="395"/>
      <c r="F328" s="270"/>
      <c r="G328" s="381"/>
      <c r="H328" s="187"/>
      <c r="I328" s="187"/>
      <c r="J328" s="379"/>
      <c r="K328" s="303"/>
      <c r="L328" s="549">
        <f>SUM(L326:L327)</f>
        <v>390000</v>
      </c>
      <c r="M328" s="261"/>
      <c r="N328" s="261"/>
      <c r="O328" s="261"/>
      <c r="P328" s="272">
        <f t="shared" ref="P328:R328" si="265">SUM(P326:P327)</f>
        <v>390000</v>
      </c>
      <c r="Q328" s="272">
        <f t="shared" si="265"/>
        <v>390000</v>
      </c>
      <c r="R328" s="272">
        <f t="shared" si="265"/>
        <v>390000</v>
      </c>
    </row>
    <row r="329" spans="1:21" s="5" customFormat="1" ht="9" customHeight="1" outlineLevel="2">
      <c r="A329" s="50"/>
      <c r="B329" s="44"/>
      <c r="C329" s="130"/>
      <c r="D329" s="206"/>
      <c r="E329" s="185"/>
      <c r="F329" s="277"/>
      <c r="G329" s="296"/>
      <c r="H329" s="252"/>
      <c r="I329" s="252"/>
      <c r="J329" s="252"/>
      <c r="K329" s="215"/>
      <c r="L329" s="531"/>
      <c r="M329" s="252"/>
      <c r="N329" s="252"/>
      <c r="O329" s="252"/>
      <c r="P329" s="271"/>
      <c r="Q329" s="271"/>
      <c r="R329" s="271"/>
    </row>
    <row r="330" spans="1:21" outlineLevel="2">
      <c r="A330" s="33" t="s">
        <v>2</v>
      </c>
      <c r="B330" s="44">
        <v>51559</v>
      </c>
      <c r="C330" s="130">
        <v>520599</v>
      </c>
      <c r="D330" s="396" t="s">
        <v>413</v>
      </c>
      <c r="E330" s="417"/>
      <c r="F330" s="277">
        <f>F291+F297+F315+F321</f>
        <v>608138.66666666663</v>
      </c>
      <c r="G330" s="296">
        <f>G291+G297+G315+G321</f>
        <v>542515</v>
      </c>
      <c r="H330" s="213">
        <f>H291+H297+H315+H321</f>
        <v>604727</v>
      </c>
      <c r="I330" s="213">
        <f>I291+I297+I315+I321</f>
        <v>524678</v>
      </c>
      <c r="J330" s="213">
        <f>J291+J297+J315+J321</f>
        <v>0</v>
      </c>
      <c r="K330" s="215">
        <f>I330+J330</f>
        <v>524678</v>
      </c>
      <c r="L330" s="411">
        <f>L291+L297+L315+L321+L328</f>
        <v>1016969</v>
      </c>
      <c r="M330" s="139"/>
      <c r="N330" s="139"/>
      <c r="O330" s="139"/>
      <c r="P330" s="270">
        <f>P291+P297+P315+P321+P328</f>
        <v>965969</v>
      </c>
      <c r="Q330" s="270">
        <f>Q291+Q297+Q315+Q321+Q328</f>
        <v>965969</v>
      </c>
      <c r="R330" s="270">
        <f>R291+R297+R315+R321+R328</f>
        <v>965969</v>
      </c>
    </row>
    <row r="331" spans="1:21" ht="5.0999999999999996" customHeight="1" outlineLevel="1">
      <c r="B331" s="41"/>
      <c r="C331" s="107"/>
      <c r="D331" s="16"/>
      <c r="F331" s="270"/>
      <c r="G331" s="298"/>
      <c r="H331" s="213"/>
      <c r="I331" s="213"/>
      <c r="J331" s="213"/>
      <c r="K331" s="213"/>
      <c r="L331" s="528"/>
      <c r="M331" s="187"/>
      <c r="N331" s="187"/>
      <c r="O331" s="187"/>
      <c r="P331" s="269"/>
      <c r="Q331" s="269"/>
      <c r="R331" s="269"/>
    </row>
    <row r="332" spans="1:21" outlineLevel="1" collapsed="1">
      <c r="A332" s="55" t="s">
        <v>0</v>
      </c>
      <c r="B332" s="44"/>
      <c r="C332" s="130">
        <v>530000</v>
      </c>
      <c r="D332" s="406" t="s">
        <v>444</v>
      </c>
      <c r="E332" s="426"/>
      <c r="F332" s="279">
        <f>F334</f>
        <v>0</v>
      </c>
      <c r="G332" s="299">
        <f>SUM(G333:G333)</f>
        <v>356</v>
      </c>
      <c r="H332" s="213">
        <f>H334</f>
        <v>400</v>
      </c>
      <c r="I332" s="213">
        <v>273</v>
      </c>
      <c r="J332" s="213">
        <f t="shared" ref="J332" si="266">J334</f>
        <v>0</v>
      </c>
      <c r="K332" s="215">
        <f>I332+J332</f>
        <v>273</v>
      </c>
      <c r="L332" s="525">
        <f>L334</f>
        <v>250</v>
      </c>
      <c r="M332" s="508"/>
      <c r="N332" s="508"/>
      <c r="O332" s="508"/>
      <c r="P332" s="402">
        <f>P334</f>
        <v>250</v>
      </c>
      <c r="Q332" s="402">
        <f>Q334</f>
        <v>250</v>
      </c>
      <c r="R332" s="402">
        <f>R334</f>
        <v>250</v>
      </c>
    </row>
    <row r="333" spans="1:21" hidden="1" outlineLevel="2">
      <c r="A333" s="55" t="s">
        <v>136</v>
      </c>
      <c r="B333" s="44">
        <v>5135</v>
      </c>
      <c r="C333" s="127">
        <v>530001</v>
      </c>
      <c r="D333" s="12" t="s">
        <v>159</v>
      </c>
      <c r="E333" s="384" t="s">
        <v>445</v>
      </c>
      <c r="F333" s="365">
        <v>0</v>
      </c>
      <c r="G333" s="380">
        <v>356</v>
      </c>
      <c r="H333" s="216">
        <v>400</v>
      </c>
      <c r="I333" s="216">
        <v>228</v>
      </c>
      <c r="J333" s="398">
        <v>0</v>
      </c>
      <c r="K333" s="217">
        <f>I333+J333</f>
        <v>228</v>
      </c>
      <c r="L333" s="530">
        <v>250</v>
      </c>
      <c r="M333" s="216"/>
      <c r="N333" s="216"/>
      <c r="O333" s="216"/>
      <c r="P333" s="360">
        <v>250</v>
      </c>
      <c r="Q333" s="360">
        <v>250</v>
      </c>
      <c r="R333" s="360">
        <v>250</v>
      </c>
    </row>
    <row r="334" spans="1:21" hidden="1" outlineLevel="2">
      <c r="A334" s="55" t="s">
        <v>2</v>
      </c>
      <c r="B334" s="44">
        <v>5139</v>
      </c>
      <c r="C334" s="127">
        <v>530009</v>
      </c>
      <c r="D334" s="16" t="s">
        <v>179</v>
      </c>
      <c r="F334" s="269">
        <f>F333</f>
        <v>0</v>
      </c>
      <c r="G334" s="298">
        <f>G333</f>
        <v>356</v>
      </c>
      <c r="H334" s="218">
        <f>H333</f>
        <v>400</v>
      </c>
      <c r="I334" s="218">
        <f>I333</f>
        <v>228</v>
      </c>
      <c r="J334" s="218">
        <f>J333</f>
        <v>0</v>
      </c>
      <c r="K334" s="223">
        <f>I334+J334</f>
        <v>228</v>
      </c>
      <c r="L334" s="529">
        <f>SUM(L333:L333)</f>
        <v>250</v>
      </c>
      <c r="M334" s="260"/>
      <c r="N334" s="260"/>
      <c r="O334" s="260"/>
      <c r="P334" s="361">
        <f>SUM(P333:P333)</f>
        <v>250</v>
      </c>
      <c r="Q334" s="361">
        <f>SUM(Q333:Q333)</f>
        <v>250</v>
      </c>
      <c r="R334" s="361">
        <f>SUM(R333:R333)</f>
        <v>250</v>
      </c>
    </row>
    <row r="335" spans="1:21" ht="5.0999999999999996" customHeight="1" outlineLevel="1">
      <c r="A335" s="55"/>
      <c r="B335" s="44"/>
      <c r="F335" s="269"/>
      <c r="G335" s="298"/>
      <c r="H335" s="213"/>
      <c r="I335" s="6"/>
      <c r="J335" s="6"/>
      <c r="K335" s="215"/>
      <c r="L335" s="528"/>
      <c r="M335" s="187"/>
      <c r="N335" s="187"/>
      <c r="O335" s="187"/>
      <c r="P335" s="269"/>
      <c r="Q335" s="269"/>
      <c r="R335" s="269"/>
    </row>
    <row r="336" spans="1:21" outlineLevel="1">
      <c r="A336" s="55"/>
      <c r="B336" s="44"/>
      <c r="C336" s="470">
        <v>533000</v>
      </c>
      <c r="D336" s="382" t="s">
        <v>411</v>
      </c>
      <c r="E336" s="433" t="s">
        <v>464</v>
      </c>
      <c r="F336" s="269"/>
      <c r="G336" s="298"/>
      <c r="H336" s="213"/>
      <c r="I336" s="6"/>
      <c r="J336" s="6"/>
      <c r="K336" s="215"/>
      <c r="L336" s="528">
        <f>L339</f>
        <v>120000</v>
      </c>
      <c r="M336" s="187"/>
      <c r="N336" s="187"/>
      <c r="O336" s="187"/>
      <c r="P336" s="269">
        <f>P339</f>
        <v>120000</v>
      </c>
      <c r="Q336" s="269">
        <f>Q339</f>
        <v>120000</v>
      </c>
      <c r="R336" s="269">
        <f>R339</f>
        <v>120000</v>
      </c>
      <c r="U336" s="383" t="s">
        <v>414</v>
      </c>
    </row>
    <row r="337" spans="1:21" outlineLevel="2">
      <c r="A337" s="55"/>
      <c r="B337" s="44"/>
      <c r="C337" s="128">
        <v>533001</v>
      </c>
      <c r="D337" s="192" t="s">
        <v>78</v>
      </c>
      <c r="F337" s="269"/>
      <c r="G337" s="298"/>
      <c r="H337" s="213"/>
      <c r="I337" s="6"/>
      <c r="J337" s="410"/>
      <c r="K337" s="410" t="s">
        <v>466</v>
      </c>
      <c r="L337" s="390">
        <v>110000</v>
      </c>
      <c r="M337" s="390"/>
      <c r="N337" s="515"/>
      <c r="O337" s="515"/>
      <c r="P337" s="390">
        <v>110000</v>
      </c>
      <c r="Q337" s="390">
        <v>110000</v>
      </c>
      <c r="R337" s="390">
        <v>110000</v>
      </c>
      <c r="U337" s="388">
        <f>T244+L260+L337</f>
        <v>450000</v>
      </c>
    </row>
    <row r="338" spans="1:21" outlineLevel="2">
      <c r="A338" s="55"/>
      <c r="B338" s="44"/>
      <c r="C338" s="128">
        <v>533002</v>
      </c>
      <c r="D338" s="192" t="s">
        <v>29</v>
      </c>
      <c r="F338" s="269"/>
      <c r="G338" s="298"/>
      <c r="H338" s="213"/>
      <c r="I338" s="6"/>
      <c r="J338" s="6"/>
      <c r="K338" s="215"/>
      <c r="L338" s="373">
        <v>10000</v>
      </c>
      <c r="M338" s="373"/>
      <c r="N338" s="518"/>
      <c r="O338" s="518"/>
      <c r="P338" s="373">
        <v>10000</v>
      </c>
      <c r="Q338" s="373">
        <v>10000</v>
      </c>
      <c r="R338" s="373">
        <v>10000</v>
      </c>
    </row>
    <row r="339" spans="1:21" outlineLevel="2">
      <c r="A339" s="55"/>
      <c r="B339" s="44"/>
      <c r="C339" s="128">
        <v>533009</v>
      </c>
      <c r="D339" s="16" t="s">
        <v>412</v>
      </c>
      <c r="F339" s="269"/>
      <c r="G339" s="298"/>
      <c r="H339" s="213"/>
      <c r="I339" s="6"/>
      <c r="J339" s="6"/>
      <c r="K339" s="215"/>
      <c r="L339" s="361">
        <f>SUM(L337:L338)</f>
        <v>120000</v>
      </c>
      <c r="M339" s="361"/>
      <c r="N339" s="260"/>
      <c r="O339" s="260"/>
      <c r="P339" s="361">
        <f>SUM(P337:P338)</f>
        <v>120000</v>
      </c>
      <c r="Q339" s="361">
        <f>SUM(Q337:Q338)</f>
        <v>120000</v>
      </c>
      <c r="R339" s="361">
        <f>SUM(R337:R338)</f>
        <v>120000</v>
      </c>
    </row>
    <row r="340" spans="1:21">
      <c r="A340" s="50" t="s">
        <v>2</v>
      </c>
      <c r="B340" s="41"/>
      <c r="C340" s="135">
        <v>599998</v>
      </c>
      <c r="D340" s="193" t="s">
        <v>170</v>
      </c>
      <c r="E340" s="432"/>
      <c r="F340" s="273">
        <f t="shared" ref="F340:L340" si="267">F45+F78+F109+F126+F158+F184+F196+F200+F218</f>
        <v>3171529.9166666665</v>
      </c>
      <c r="G340" s="296">
        <f t="shared" si="267"/>
        <v>3170146</v>
      </c>
      <c r="H340" s="235">
        <f t="shared" si="267"/>
        <v>3248127</v>
      </c>
      <c r="I340" s="235">
        <f t="shared" si="267"/>
        <v>3083285</v>
      </c>
      <c r="J340" s="235">
        <f t="shared" si="267"/>
        <v>0</v>
      </c>
      <c r="K340" s="235">
        <f t="shared" si="267"/>
        <v>3083285</v>
      </c>
      <c r="L340" s="273">
        <f t="shared" si="267"/>
        <v>2996764</v>
      </c>
      <c r="M340" s="273"/>
      <c r="N340" s="519"/>
      <c r="O340" s="519"/>
      <c r="P340" s="273">
        <f>P45+P78+P109+P126+P158+P184+P196+P200+P218</f>
        <v>2800819</v>
      </c>
      <c r="Q340" s="273">
        <f>Q45+Q78+Q109+Q126+Q158+Q184+Q196+Q200+Q218</f>
        <v>2766919</v>
      </c>
      <c r="R340" s="273">
        <f>R45+R78+R109+R126+R158+R184+R196+R200+R218</f>
        <v>2760419</v>
      </c>
    </row>
    <row r="341" spans="1:21" ht="8.1" customHeight="1">
      <c r="A341" s="78"/>
      <c r="B341" s="48"/>
      <c r="C341" s="136"/>
      <c r="D341" s="49"/>
      <c r="E341" s="189"/>
      <c r="F341" s="274"/>
      <c r="G341" s="305"/>
      <c r="H341" s="236"/>
      <c r="I341" s="236"/>
      <c r="J341" s="236"/>
      <c r="K341" s="236"/>
      <c r="L341" s="274"/>
      <c r="M341" s="274"/>
      <c r="N341" s="520"/>
      <c r="O341" s="520"/>
      <c r="P341" s="274"/>
      <c r="Q341" s="274"/>
      <c r="R341" s="274"/>
    </row>
    <row r="342" spans="1:21" s="5" customFormat="1">
      <c r="A342" s="50" t="s">
        <v>2</v>
      </c>
      <c r="B342" s="41"/>
      <c r="C342" s="130">
        <v>599999</v>
      </c>
      <c r="D342" s="210" t="s">
        <v>130</v>
      </c>
      <c r="E342" s="417"/>
      <c r="F342" s="285">
        <f t="shared" ref="F342:N342" si="268">F3-F340</f>
        <v>16735.083333333489</v>
      </c>
      <c r="G342" s="306">
        <f t="shared" si="268"/>
        <v>-64227</v>
      </c>
      <c r="H342" s="237">
        <f t="shared" si="268"/>
        <v>168409</v>
      </c>
      <c r="I342" s="237">
        <f t="shared" si="268"/>
        <v>405228</v>
      </c>
      <c r="J342" s="237">
        <f t="shared" si="268"/>
        <v>0</v>
      </c>
      <c r="K342" s="237">
        <f t="shared" si="268"/>
        <v>419361</v>
      </c>
      <c r="L342" s="272">
        <f t="shared" si="268"/>
        <v>68056</v>
      </c>
      <c r="M342" s="272">
        <f t="shared" si="268"/>
        <v>0</v>
      </c>
      <c r="N342" s="261">
        <f t="shared" si="268"/>
        <v>0</v>
      </c>
      <c r="O342" s="261">
        <f>M342+N342</f>
        <v>0</v>
      </c>
      <c r="P342" s="272">
        <f>P3-P340</f>
        <v>85181</v>
      </c>
      <c r="Q342" s="272">
        <f>Q3-Q340</f>
        <v>124581</v>
      </c>
      <c r="R342" s="272">
        <f>R3-R340</f>
        <v>-304419</v>
      </c>
    </row>
    <row r="343" spans="1:21" s="5" customFormat="1" ht="5.0999999999999996" customHeight="1">
      <c r="A343" s="50"/>
      <c r="B343" s="41"/>
      <c r="C343" s="130"/>
      <c r="D343" s="137"/>
      <c r="E343" s="52"/>
      <c r="F343" s="286"/>
      <c r="G343" s="307"/>
      <c r="H343" s="215"/>
      <c r="I343" s="355"/>
      <c r="J343" s="355"/>
      <c r="K343" s="215"/>
      <c r="L343" s="270"/>
      <c r="M343" s="270"/>
      <c r="N343" s="139"/>
      <c r="O343" s="139"/>
      <c r="P343" s="270"/>
      <c r="Q343" s="270"/>
      <c r="R343" s="270"/>
    </row>
    <row r="344" spans="1:21" s="5" customFormat="1">
      <c r="A344" s="50" t="s">
        <v>136</v>
      </c>
      <c r="B344" s="41">
        <v>2060</v>
      </c>
      <c r="C344" s="130">
        <v>600001</v>
      </c>
      <c r="D344" s="210" t="s">
        <v>7</v>
      </c>
      <c r="E344" s="417"/>
      <c r="F344" s="279">
        <v>0</v>
      </c>
      <c r="G344" s="299">
        <v>10765</v>
      </c>
      <c r="H344" s="215">
        <f>16435+(4*11550)</f>
        <v>62635</v>
      </c>
      <c r="I344" s="170">
        <v>393722</v>
      </c>
      <c r="J344" s="170">
        <v>0</v>
      </c>
      <c r="K344" s="223">
        <f>I344+J344</f>
        <v>393722</v>
      </c>
      <c r="L344" s="270">
        <f>28000+34250</f>
        <v>62250</v>
      </c>
      <c r="M344" s="270"/>
      <c r="N344" s="139"/>
      <c r="O344" s="139">
        <f>M344+N344</f>
        <v>0</v>
      </c>
      <c r="P344" s="270">
        <v>34250</v>
      </c>
      <c r="Q344" s="270">
        <v>34250</v>
      </c>
      <c r="R344" s="270">
        <v>34250</v>
      </c>
    </row>
    <row r="345" spans="1:21" s="5" customFormat="1" ht="5.0999999999999996" customHeight="1">
      <c r="A345" s="50"/>
      <c r="B345" s="41"/>
      <c r="C345" s="130"/>
      <c r="D345" s="137"/>
      <c r="E345" s="52"/>
      <c r="F345" s="286"/>
      <c r="G345" s="307"/>
      <c r="H345" s="215"/>
      <c r="I345" s="355"/>
      <c r="J345" s="355"/>
      <c r="K345" s="355"/>
      <c r="L345" s="270"/>
      <c r="M345" s="270"/>
      <c r="N345" s="139"/>
      <c r="O345" s="139"/>
      <c r="P345" s="270"/>
      <c r="Q345" s="270"/>
      <c r="R345" s="270"/>
    </row>
    <row r="346" spans="1:21" s="5" customFormat="1">
      <c r="A346" s="50" t="s">
        <v>2</v>
      </c>
      <c r="B346" s="41"/>
      <c r="C346" s="130">
        <v>699999</v>
      </c>
      <c r="D346" s="210" t="s">
        <v>129</v>
      </c>
      <c r="E346" s="78" t="s">
        <v>139</v>
      </c>
      <c r="F346" s="272">
        <f t="shared" ref="F346" si="269">F342-F344</f>
        <v>16735.083333333489</v>
      </c>
      <c r="G346" s="308">
        <f t="shared" ref="G346" si="270">G342-G344</f>
        <v>-74992</v>
      </c>
      <c r="H346" s="237">
        <f t="shared" ref="H346:K346" si="271">H342-H344</f>
        <v>105774</v>
      </c>
      <c r="I346" s="237">
        <f t="shared" si="271"/>
        <v>11506</v>
      </c>
      <c r="J346" s="237">
        <f t="shared" si="271"/>
        <v>0</v>
      </c>
      <c r="K346" s="237">
        <f t="shared" si="271"/>
        <v>25639</v>
      </c>
      <c r="L346" s="272">
        <f t="shared" ref="L346:P346" si="272">L342-L344</f>
        <v>5806</v>
      </c>
      <c r="M346" s="272">
        <f t="shared" si="272"/>
        <v>0</v>
      </c>
      <c r="N346" s="261">
        <f t="shared" si="272"/>
        <v>0</v>
      </c>
      <c r="O346" s="261">
        <f>M346+N346</f>
        <v>0</v>
      </c>
      <c r="P346" s="272">
        <f t="shared" si="272"/>
        <v>50931</v>
      </c>
      <c r="Q346" s="272">
        <f t="shared" ref="Q346:R346" si="273">Q342-Q344</f>
        <v>90331</v>
      </c>
      <c r="R346" s="272">
        <f t="shared" si="273"/>
        <v>-338669</v>
      </c>
    </row>
    <row r="347" spans="1:21" s="5" customFormat="1" ht="5.0999999999999996" customHeight="1">
      <c r="A347" s="50"/>
      <c r="B347" s="41"/>
      <c r="C347" s="130"/>
      <c r="D347" s="137"/>
      <c r="E347" s="52"/>
      <c r="F347" s="272"/>
      <c r="G347" s="308"/>
      <c r="H347" s="215"/>
      <c r="I347" s="355"/>
      <c r="J347" s="355"/>
      <c r="K347" s="355"/>
      <c r="L347" s="370"/>
      <c r="M347" s="370"/>
      <c r="N347" s="521"/>
      <c r="O347" s="521"/>
      <c r="P347" s="370"/>
      <c r="Q347" s="370"/>
      <c r="R347" s="370"/>
    </row>
    <row r="348" spans="1:21" s="5" customFormat="1" collapsed="1">
      <c r="A348" s="50" t="s">
        <v>0</v>
      </c>
      <c r="B348" s="41"/>
      <c r="C348" s="130">
        <v>700000</v>
      </c>
      <c r="D348" s="210" t="s">
        <v>157</v>
      </c>
      <c r="E348" s="417"/>
      <c r="F348" s="279">
        <f t="shared" ref="F348:G348" si="274">F358</f>
        <v>3500</v>
      </c>
      <c r="G348" s="299">
        <f t="shared" si="274"/>
        <v>2540</v>
      </c>
      <c r="H348" s="145">
        <f t="shared" ref="H348:O348" si="275">H358</f>
        <v>2400</v>
      </c>
      <c r="I348" s="145">
        <f t="shared" si="275"/>
        <v>2875</v>
      </c>
      <c r="J348" s="145">
        <f t="shared" si="275"/>
        <v>0</v>
      </c>
      <c r="K348" s="145">
        <f t="shared" si="275"/>
        <v>2875</v>
      </c>
      <c r="L348" s="363">
        <f t="shared" si="275"/>
        <v>3000</v>
      </c>
      <c r="M348" s="363">
        <f t="shared" si="275"/>
        <v>0</v>
      </c>
      <c r="N348" s="145">
        <f t="shared" si="275"/>
        <v>0</v>
      </c>
      <c r="O348" s="145">
        <f t="shared" si="275"/>
        <v>0</v>
      </c>
      <c r="P348" s="363">
        <f t="shared" ref="P348:Q348" si="276">P358</f>
        <v>3000</v>
      </c>
      <c r="Q348" s="363">
        <f t="shared" si="276"/>
        <v>3000</v>
      </c>
      <c r="R348" s="363">
        <f t="shared" ref="R348" si="277">R358</f>
        <v>3000</v>
      </c>
    </row>
    <row r="349" spans="1:21" s="5" customFormat="1" hidden="1" outlineLevel="1">
      <c r="A349" s="50" t="s">
        <v>136</v>
      </c>
      <c r="B349" s="44">
        <v>1500</v>
      </c>
      <c r="C349" s="107">
        <v>710001</v>
      </c>
      <c r="D349" s="14" t="s">
        <v>276</v>
      </c>
      <c r="E349" s="50"/>
      <c r="F349" s="310">
        <v>0</v>
      </c>
      <c r="G349" s="303"/>
      <c r="H349" s="215"/>
      <c r="I349" s="355"/>
      <c r="J349" s="355"/>
      <c r="K349" s="355"/>
      <c r="L349" s="370"/>
      <c r="M349" s="370"/>
      <c r="N349" s="521"/>
      <c r="O349" s="521"/>
      <c r="P349" s="370"/>
      <c r="Q349" s="370"/>
      <c r="R349" s="370"/>
    </row>
    <row r="350" spans="1:21" s="5" customFormat="1" hidden="1" outlineLevel="1">
      <c r="A350" s="50" t="s">
        <v>136</v>
      </c>
      <c r="B350" s="44">
        <v>1505</v>
      </c>
      <c r="C350" s="107">
        <v>710002</v>
      </c>
      <c r="D350" s="14" t="s">
        <v>277</v>
      </c>
      <c r="E350" s="50"/>
      <c r="F350" s="310">
        <v>0</v>
      </c>
      <c r="G350" s="303"/>
      <c r="H350" s="215"/>
      <c r="I350" s="355"/>
      <c r="J350" s="355"/>
      <c r="K350" s="355"/>
      <c r="L350" s="370"/>
      <c r="M350" s="370"/>
      <c r="N350" s="521"/>
      <c r="O350" s="521"/>
      <c r="P350" s="370"/>
      <c r="Q350" s="370"/>
      <c r="R350" s="370"/>
    </row>
    <row r="351" spans="1:21" s="5" customFormat="1" hidden="1" outlineLevel="1">
      <c r="A351" s="50" t="s">
        <v>136</v>
      </c>
      <c r="B351" s="44"/>
      <c r="C351" s="107">
        <v>710003</v>
      </c>
      <c r="D351" s="14" t="s">
        <v>278</v>
      </c>
      <c r="E351" s="50"/>
      <c r="F351" s="310">
        <v>0</v>
      </c>
      <c r="G351" s="303"/>
      <c r="H351" s="215"/>
      <c r="I351" s="355"/>
      <c r="J351" s="355"/>
      <c r="K351" s="355"/>
      <c r="L351" s="370"/>
      <c r="M351" s="370"/>
      <c r="N351" s="521"/>
      <c r="O351" s="521"/>
      <c r="P351" s="370"/>
      <c r="Q351" s="370"/>
      <c r="R351" s="370"/>
    </row>
    <row r="352" spans="1:21" s="5" customFormat="1" hidden="1" outlineLevel="1">
      <c r="A352" s="50" t="s">
        <v>136</v>
      </c>
      <c r="B352" s="44"/>
      <c r="C352" s="107">
        <v>710004</v>
      </c>
      <c r="D352" s="14" t="s">
        <v>279</v>
      </c>
      <c r="E352" s="50"/>
      <c r="F352" s="310">
        <v>0</v>
      </c>
      <c r="G352" s="303"/>
      <c r="H352" s="215"/>
      <c r="I352" s="355"/>
      <c r="J352" s="355"/>
      <c r="K352" s="355"/>
      <c r="L352" s="370"/>
      <c r="M352" s="370"/>
      <c r="N352" s="521"/>
      <c r="O352" s="521"/>
      <c r="P352" s="370"/>
      <c r="Q352" s="370"/>
      <c r="R352" s="370"/>
    </row>
    <row r="353" spans="1:19" s="5" customFormat="1" hidden="1" outlineLevel="1">
      <c r="A353" s="50" t="s">
        <v>136</v>
      </c>
      <c r="B353" s="44"/>
      <c r="C353" s="107">
        <v>710005</v>
      </c>
      <c r="D353" s="14" t="s">
        <v>280</v>
      </c>
      <c r="E353" s="50"/>
      <c r="F353" s="310">
        <v>0</v>
      </c>
      <c r="G353" s="303"/>
      <c r="H353" s="215"/>
      <c r="I353" s="355"/>
      <c r="J353" s="355"/>
      <c r="K353" s="355"/>
      <c r="L353" s="370"/>
      <c r="M353" s="370"/>
      <c r="N353" s="521"/>
      <c r="O353" s="521"/>
      <c r="P353" s="370"/>
      <c r="Q353" s="370"/>
      <c r="R353" s="370"/>
    </row>
    <row r="354" spans="1:19" s="5" customFormat="1" hidden="1" outlineLevel="1">
      <c r="A354" s="50" t="s">
        <v>136</v>
      </c>
      <c r="B354" s="44"/>
      <c r="C354" s="107">
        <v>720001</v>
      </c>
      <c r="D354" s="14" t="s">
        <v>281</v>
      </c>
      <c r="E354" s="50"/>
      <c r="F354" s="310">
        <v>0</v>
      </c>
      <c r="G354" s="303"/>
      <c r="H354" s="215"/>
      <c r="I354" s="355"/>
      <c r="J354" s="355"/>
      <c r="K354" s="355"/>
      <c r="L354" s="370"/>
      <c r="M354" s="370"/>
      <c r="N354" s="521"/>
      <c r="O354" s="521"/>
      <c r="P354" s="370"/>
      <c r="Q354" s="370"/>
      <c r="R354" s="370"/>
    </row>
    <row r="355" spans="1:19" s="5" customFormat="1" hidden="1" outlineLevel="1">
      <c r="A355" s="50" t="s">
        <v>136</v>
      </c>
      <c r="B355" s="44">
        <v>2015</v>
      </c>
      <c r="C355" s="127">
        <v>720003</v>
      </c>
      <c r="D355" s="12" t="s">
        <v>86</v>
      </c>
      <c r="E355" s="33"/>
      <c r="F355" s="310">
        <v>3500</v>
      </c>
      <c r="G355" s="303">
        <v>2540</v>
      </c>
      <c r="H355" s="215">
        <v>2400</v>
      </c>
      <c r="I355" s="215">
        <v>2875</v>
      </c>
      <c r="J355" s="215"/>
      <c r="K355" s="215">
        <f>I355+J355</f>
        <v>2875</v>
      </c>
      <c r="L355" s="270">
        <v>3000</v>
      </c>
      <c r="M355" s="270"/>
      <c r="N355" s="139"/>
      <c r="O355" s="139"/>
      <c r="P355" s="270">
        <v>3000</v>
      </c>
      <c r="Q355" s="270">
        <v>3000</v>
      </c>
      <c r="R355" s="270">
        <v>3000</v>
      </c>
    </row>
    <row r="356" spans="1:19" s="5" customFormat="1" hidden="1" outlineLevel="1">
      <c r="A356" s="50" t="s">
        <v>136</v>
      </c>
      <c r="B356" s="44"/>
      <c r="C356" s="127">
        <v>720005</v>
      </c>
      <c r="D356" s="12" t="s">
        <v>282</v>
      </c>
      <c r="E356" s="33"/>
      <c r="F356" s="310">
        <v>0</v>
      </c>
      <c r="G356" s="303"/>
      <c r="H356" s="215"/>
      <c r="I356" s="215"/>
      <c r="J356" s="215"/>
      <c r="K356" s="215"/>
      <c r="L356" s="370"/>
      <c r="M356" s="370"/>
      <c r="N356" s="521"/>
      <c r="O356" s="521"/>
      <c r="P356" s="370"/>
      <c r="Q356" s="370"/>
      <c r="R356" s="370"/>
    </row>
    <row r="357" spans="1:19" s="5" customFormat="1" hidden="1" outlineLevel="1">
      <c r="A357" s="50" t="s">
        <v>136</v>
      </c>
      <c r="B357" s="44"/>
      <c r="C357" s="127">
        <v>720006</v>
      </c>
      <c r="D357" s="12" t="s">
        <v>283</v>
      </c>
      <c r="E357" s="33"/>
      <c r="F357" s="367">
        <v>0</v>
      </c>
      <c r="G357" s="366"/>
      <c r="H357" s="217"/>
      <c r="I357" s="217"/>
      <c r="J357" s="217"/>
      <c r="K357" s="217"/>
      <c r="L357" s="371"/>
      <c r="M357" s="371"/>
      <c r="N357" s="522"/>
      <c r="O357" s="522"/>
      <c r="P357" s="371"/>
      <c r="Q357" s="371"/>
      <c r="R357" s="371"/>
    </row>
    <row r="358" spans="1:19" s="5" customFormat="1" hidden="1" outlineLevel="1">
      <c r="A358" s="50" t="s">
        <v>2</v>
      </c>
      <c r="B358" s="44">
        <v>1519</v>
      </c>
      <c r="C358" s="130">
        <v>790009</v>
      </c>
      <c r="D358" s="11" t="s">
        <v>149</v>
      </c>
      <c r="E358" s="50"/>
      <c r="F358" s="310">
        <f t="shared" ref="F358:G358" si="278">SUM(F349:F357)</f>
        <v>3500</v>
      </c>
      <c r="G358" s="302">
        <f t="shared" si="278"/>
        <v>2540</v>
      </c>
      <c r="H358" s="270">
        <f t="shared" ref="H358:N358" si="279">SUM(H349:H357)</f>
        <v>2400</v>
      </c>
      <c r="I358" s="139">
        <f t="shared" si="279"/>
        <v>2875</v>
      </c>
      <c r="J358" s="139">
        <f t="shared" si="279"/>
        <v>0</v>
      </c>
      <c r="K358" s="139">
        <f t="shared" si="279"/>
        <v>2875</v>
      </c>
      <c r="L358" s="270">
        <f t="shared" si="279"/>
        <v>3000</v>
      </c>
      <c r="M358" s="270">
        <f t="shared" si="279"/>
        <v>0</v>
      </c>
      <c r="N358" s="139">
        <f t="shared" si="279"/>
        <v>0</v>
      </c>
      <c r="O358" s="139">
        <f>M358+N358</f>
        <v>0</v>
      </c>
      <c r="P358" s="270">
        <f t="shared" ref="P358:Q358" si="280">SUM(P349:P357)</f>
        <v>3000</v>
      </c>
      <c r="Q358" s="270">
        <f t="shared" si="280"/>
        <v>3000</v>
      </c>
      <c r="R358" s="270">
        <f t="shared" ref="R358" si="281">SUM(R349:R357)</f>
        <v>3000</v>
      </c>
    </row>
    <row r="359" spans="1:19" s="5" customFormat="1" ht="5.0999999999999996" customHeight="1">
      <c r="A359" s="50"/>
      <c r="B359" s="42"/>
      <c r="C359" s="107"/>
      <c r="D359" s="14"/>
      <c r="E359" s="50"/>
      <c r="F359" s="270"/>
      <c r="G359" s="303"/>
      <c r="H359" s="215"/>
      <c r="I359" s="355"/>
      <c r="J359" s="355"/>
      <c r="K359" s="355"/>
      <c r="L359" s="370"/>
      <c r="M359" s="370"/>
      <c r="N359" s="521"/>
      <c r="O359" s="521"/>
      <c r="P359" s="370"/>
      <c r="Q359" s="370"/>
      <c r="R359" s="370"/>
    </row>
    <row r="360" spans="1:19" s="5" customFormat="1" ht="14.4" thickBot="1">
      <c r="A360" s="50" t="s">
        <v>2</v>
      </c>
      <c r="B360" s="41"/>
      <c r="C360" s="130">
        <v>799999</v>
      </c>
      <c r="D360" s="210" t="s">
        <v>162</v>
      </c>
      <c r="E360" s="78" t="s">
        <v>139</v>
      </c>
      <c r="F360" s="275">
        <f t="shared" ref="F360" si="282">F346-F358</f>
        <v>13235.083333333489</v>
      </c>
      <c r="G360" s="309">
        <f t="shared" ref="G360" si="283">G346-G358</f>
        <v>-77532</v>
      </c>
      <c r="H360" s="239">
        <f t="shared" ref="H360:N360" si="284">H346-H358</f>
        <v>103374</v>
      </c>
      <c r="I360" s="239">
        <f t="shared" si="284"/>
        <v>8631</v>
      </c>
      <c r="J360" s="239">
        <f t="shared" si="284"/>
        <v>0</v>
      </c>
      <c r="K360" s="239">
        <f t="shared" si="284"/>
        <v>22764</v>
      </c>
      <c r="L360" s="275">
        <f t="shared" si="284"/>
        <v>2806</v>
      </c>
      <c r="M360" s="275">
        <f t="shared" si="284"/>
        <v>0</v>
      </c>
      <c r="N360" s="239">
        <f t="shared" si="284"/>
        <v>0</v>
      </c>
      <c r="O360" s="239">
        <f>M360+N360</f>
        <v>0</v>
      </c>
      <c r="P360" s="275">
        <f t="shared" ref="P360:Q360" si="285">P346-P358</f>
        <v>47931</v>
      </c>
      <c r="Q360" s="275">
        <f t="shared" si="285"/>
        <v>87331</v>
      </c>
      <c r="R360" s="275">
        <f t="shared" ref="R360" si="286">R346-R358</f>
        <v>-341669</v>
      </c>
      <c r="S360" s="355"/>
    </row>
    <row r="361" spans="1:19" ht="14.4" thickTop="1"/>
    <row r="362" spans="1:19" s="158" customFormat="1" ht="10.199999999999999">
      <c r="B362" s="438"/>
      <c r="C362" s="436"/>
      <c r="D362" s="436"/>
      <c r="E362" s="436" t="s">
        <v>468</v>
      </c>
      <c r="F362" s="437">
        <f>232204+F360</f>
        <v>245439.08333333349</v>
      </c>
      <c r="G362" s="437">
        <f>232204+G360</f>
        <v>154672</v>
      </c>
      <c r="H362" s="450"/>
      <c r="I362" s="437">
        <f>G362+I360</f>
        <v>163303</v>
      </c>
      <c r="K362" s="448">
        <f>G362+K360</f>
        <v>177436</v>
      </c>
      <c r="L362" s="448">
        <f>I362+L360</f>
        <v>166109</v>
      </c>
      <c r="M362" s="448"/>
      <c r="N362" s="448"/>
      <c r="O362" s="448"/>
      <c r="P362" s="448">
        <f>L362+P360</f>
        <v>214040</v>
      </c>
      <c r="Q362" s="448">
        <f>P362+Q360</f>
        <v>301371</v>
      </c>
      <c r="R362" s="449">
        <f>Q362+R360</f>
        <v>-40298</v>
      </c>
    </row>
  </sheetData>
  <mergeCells count="1">
    <mergeCell ref="E255:H255"/>
  </mergeCells>
  <conditionalFormatting sqref="F342">
    <cfRule type="cellIs" dxfId="73" priority="117" operator="lessThan">
      <formula>0</formula>
    </cfRule>
    <cfRule type="cellIs" dxfId="72" priority="118" operator="greaterThan">
      <formula>0</formula>
    </cfRule>
  </conditionalFormatting>
  <conditionalFormatting sqref="F346:F347">
    <cfRule type="cellIs" dxfId="71" priority="115" operator="lessThan">
      <formula>0</formula>
    </cfRule>
    <cfRule type="cellIs" dxfId="70" priority="116" operator="greaterThan">
      <formula>0</formula>
    </cfRule>
  </conditionalFormatting>
  <conditionalFormatting sqref="F360">
    <cfRule type="cellIs" dxfId="69" priority="113" operator="lessThan">
      <formula>0</formula>
    </cfRule>
    <cfRule type="cellIs" dxfId="68" priority="114" operator="greaterThan">
      <formula>0</formula>
    </cfRule>
  </conditionalFormatting>
  <conditionalFormatting sqref="G347">
    <cfRule type="cellIs" dxfId="67" priority="79" operator="lessThan">
      <formula>0</formula>
    </cfRule>
    <cfRule type="cellIs" dxfId="66" priority="80" operator="greaterThan">
      <formula>0</formula>
    </cfRule>
  </conditionalFormatting>
  <conditionalFormatting sqref="G342">
    <cfRule type="cellIs" dxfId="65" priority="77" operator="lessThan">
      <formula>0</formula>
    </cfRule>
    <cfRule type="cellIs" dxfId="64" priority="78" operator="greaterThan">
      <formula>0</formula>
    </cfRule>
  </conditionalFormatting>
  <conditionalFormatting sqref="G346">
    <cfRule type="cellIs" dxfId="63" priority="75" operator="lessThan">
      <formula>0</formula>
    </cfRule>
    <cfRule type="cellIs" dxfId="62" priority="76" operator="greaterThan">
      <formula>0</formula>
    </cfRule>
  </conditionalFormatting>
  <conditionalFormatting sqref="G360">
    <cfRule type="cellIs" dxfId="61" priority="73" operator="lessThan">
      <formula>0</formula>
    </cfRule>
    <cfRule type="cellIs" dxfId="60" priority="74" operator="greaterThan">
      <formula>0</formula>
    </cfRule>
  </conditionalFormatting>
  <conditionalFormatting sqref="H346">
    <cfRule type="cellIs" dxfId="59" priority="49" operator="lessThan">
      <formula>0</formula>
    </cfRule>
    <cfRule type="cellIs" dxfId="58" priority="50" operator="greaterThan">
      <formula>0</formula>
    </cfRule>
  </conditionalFormatting>
  <conditionalFormatting sqref="H360">
    <cfRule type="cellIs" dxfId="57" priority="47" operator="lessThan">
      <formula>0</formula>
    </cfRule>
    <cfRule type="cellIs" dxfId="56" priority="48" operator="greaterThan">
      <formula>0</formula>
    </cfRule>
  </conditionalFormatting>
  <conditionalFormatting sqref="H342">
    <cfRule type="cellIs" dxfId="55" priority="45" operator="lessThan">
      <formula>0</formula>
    </cfRule>
    <cfRule type="cellIs" dxfId="54" priority="46" operator="greaterThan">
      <formula>0</formula>
    </cfRule>
  </conditionalFormatting>
  <conditionalFormatting sqref="I342">
    <cfRule type="cellIs" dxfId="53" priority="43" operator="lessThan">
      <formula>0</formula>
    </cfRule>
    <cfRule type="cellIs" dxfId="52" priority="44" operator="greaterThan">
      <formula>0</formula>
    </cfRule>
  </conditionalFormatting>
  <conditionalFormatting sqref="J342">
    <cfRule type="cellIs" dxfId="51" priority="41" operator="lessThan">
      <formula>0</formula>
    </cfRule>
    <cfRule type="cellIs" dxfId="50" priority="42" operator="greaterThan">
      <formula>0</formula>
    </cfRule>
  </conditionalFormatting>
  <conditionalFormatting sqref="K342">
    <cfRule type="cellIs" dxfId="49" priority="39" operator="lessThan">
      <formula>0</formula>
    </cfRule>
    <cfRule type="cellIs" dxfId="48" priority="40" operator="greaterThan">
      <formula>0</formula>
    </cfRule>
  </conditionalFormatting>
  <conditionalFormatting sqref="I360">
    <cfRule type="cellIs" dxfId="47" priority="37" operator="lessThan">
      <formula>0</formula>
    </cfRule>
    <cfRule type="cellIs" dxfId="46" priority="38" operator="greaterThan">
      <formula>0</formula>
    </cfRule>
  </conditionalFormatting>
  <conditionalFormatting sqref="J360">
    <cfRule type="cellIs" dxfId="45" priority="35" operator="lessThan">
      <formula>0</formula>
    </cfRule>
    <cfRule type="cellIs" dxfId="44" priority="36" operator="greaterThan">
      <formula>0</formula>
    </cfRule>
  </conditionalFormatting>
  <conditionalFormatting sqref="K360">
    <cfRule type="cellIs" dxfId="43" priority="33" operator="lessThan">
      <formula>0</formula>
    </cfRule>
    <cfRule type="cellIs" dxfId="42" priority="34" operator="greaterThan">
      <formula>0</formula>
    </cfRule>
  </conditionalFormatting>
  <conditionalFormatting sqref="I346">
    <cfRule type="cellIs" dxfId="41" priority="31" operator="lessThan">
      <formula>0</formula>
    </cfRule>
    <cfRule type="cellIs" dxfId="40" priority="32" operator="greaterThan">
      <formula>0</formula>
    </cfRule>
  </conditionalFormatting>
  <conditionalFormatting sqref="J346">
    <cfRule type="cellIs" dxfId="39" priority="29" operator="lessThan">
      <formula>0</formula>
    </cfRule>
    <cfRule type="cellIs" dxfId="38" priority="30" operator="greaterThan">
      <formula>0</formula>
    </cfRule>
  </conditionalFormatting>
  <conditionalFormatting sqref="K346">
    <cfRule type="cellIs" dxfId="37" priority="27" operator="lessThan">
      <formula>0</formula>
    </cfRule>
    <cfRule type="cellIs" dxfId="36" priority="28" operator="greaterThan">
      <formula>0</formula>
    </cfRule>
  </conditionalFormatting>
  <conditionalFormatting sqref="L346:O346">
    <cfRule type="cellIs" dxfId="35" priority="25" operator="lessThan">
      <formula>0</formula>
    </cfRule>
    <cfRule type="cellIs" dxfId="34" priority="26" operator="greaterThan">
      <formula>0</formula>
    </cfRule>
  </conditionalFormatting>
  <conditionalFormatting sqref="L360:O360">
    <cfRule type="cellIs" dxfId="33" priority="21" operator="lessThan">
      <formula>0</formula>
    </cfRule>
    <cfRule type="cellIs" dxfId="32" priority="22" operator="greaterThan">
      <formula>0</formula>
    </cfRule>
  </conditionalFormatting>
  <conditionalFormatting sqref="L342:O342">
    <cfRule type="cellIs" dxfId="31" priority="19" operator="lessThan">
      <formula>0</formula>
    </cfRule>
    <cfRule type="cellIs" dxfId="30" priority="20" operator="greaterThan">
      <formula>0</formula>
    </cfRule>
  </conditionalFormatting>
  <conditionalFormatting sqref="P346">
    <cfRule type="cellIs" dxfId="29" priority="17" operator="lessThan">
      <formula>0</formula>
    </cfRule>
    <cfRule type="cellIs" dxfId="28" priority="18" operator="greaterThan">
      <formula>0</formula>
    </cfRule>
  </conditionalFormatting>
  <conditionalFormatting sqref="P360">
    <cfRule type="cellIs" dxfId="27" priority="15" operator="lessThan">
      <formula>0</formula>
    </cfRule>
    <cfRule type="cellIs" dxfId="26" priority="16" operator="greaterThan">
      <formula>0</formula>
    </cfRule>
  </conditionalFormatting>
  <conditionalFormatting sqref="P342">
    <cfRule type="cellIs" dxfId="25" priority="13" operator="lessThan">
      <formula>0</formula>
    </cfRule>
    <cfRule type="cellIs" dxfId="24" priority="14" operator="greaterThan">
      <formula>0</formula>
    </cfRule>
  </conditionalFormatting>
  <conditionalFormatting sqref="Q346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Q360">
    <cfRule type="cellIs" dxfId="21" priority="9" operator="lessThan">
      <formula>0</formula>
    </cfRule>
    <cfRule type="cellIs" dxfId="20" priority="10" operator="greaterThan">
      <formula>0</formula>
    </cfRule>
  </conditionalFormatting>
  <conditionalFormatting sqref="Q342">
    <cfRule type="cellIs" dxfId="19" priority="7" operator="lessThan">
      <formula>0</formula>
    </cfRule>
    <cfRule type="cellIs" dxfId="18" priority="8" operator="greaterThan">
      <formula>0</formula>
    </cfRule>
  </conditionalFormatting>
  <conditionalFormatting sqref="R346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R360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R342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E311" location="'2018-elite'!F13" display="Link" xr:uid="{00000000-0004-0000-0000-000000000000}"/>
    <hyperlink ref="E312" location="'2018-elite'!F24" display="Link" xr:uid="{00000000-0004-0000-0000-000001000000}"/>
    <hyperlink ref="E314" location="'2018-elite'!F36" display="Link" xr:uid="{00000000-0004-0000-0000-000002000000}"/>
    <hyperlink ref="E310" location="'2018-elite'!F50" display="Link" xr:uid="{00000000-0004-0000-0000-000003000000}"/>
  </hyperlinks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I62"/>
  <sheetViews>
    <sheetView workbookViewId="0">
      <selection activeCell="J25" sqref="J25"/>
    </sheetView>
  </sheetViews>
  <sheetFormatPr defaultColWidth="9.33203125" defaultRowHeight="14.4"/>
  <cols>
    <col min="1" max="1" width="44" style="3" customWidth="1"/>
    <col min="2" max="2" width="8.44140625" style="3" customWidth="1"/>
    <col min="3" max="3" width="9" style="3" customWidth="1"/>
    <col min="4" max="4" width="8" style="318" customWidth="1"/>
    <col min="5" max="5" width="8.33203125" style="318" customWidth="1"/>
    <col min="6" max="6" width="9" style="318" customWidth="1"/>
    <col min="7" max="7" width="5.6640625" style="318" customWidth="1"/>
    <col min="8" max="8" width="66.33203125" style="318" hidden="1" customWidth="1"/>
    <col min="9" max="16384" width="9.33203125" style="318"/>
  </cols>
  <sheetData>
    <row r="1" spans="1:9" ht="18">
      <c r="A1" s="314"/>
      <c r="B1" s="314" t="s">
        <v>470</v>
      </c>
      <c r="C1" s="315"/>
      <c r="D1" s="316"/>
      <c r="E1" s="316"/>
      <c r="F1" s="316"/>
    </row>
    <row r="2" spans="1:9" ht="5.25" customHeight="1">
      <c r="A2" s="314"/>
      <c r="B2" s="314"/>
      <c r="C2" s="315"/>
      <c r="D2" s="316"/>
      <c r="E2" s="316"/>
      <c r="F2" s="316"/>
    </row>
    <row r="3" spans="1:9">
      <c r="A3" s="317"/>
      <c r="B3" s="317"/>
      <c r="D3" s="317"/>
      <c r="F3" s="563" t="s">
        <v>371</v>
      </c>
    </row>
    <row r="4" spans="1:9" ht="15.6">
      <c r="A4" s="319"/>
      <c r="B4" s="319"/>
      <c r="D4" s="320"/>
      <c r="E4" s="320"/>
      <c r="F4" s="563"/>
    </row>
    <row r="5" spans="1:9" ht="15" thickBot="1">
      <c r="A5" s="321" t="s">
        <v>372</v>
      </c>
      <c r="B5" s="321"/>
      <c r="C5" s="322"/>
      <c r="D5" s="323"/>
      <c r="E5" s="323"/>
      <c r="F5" s="330">
        <f>SUM(F6:F7)</f>
        <v>280000</v>
      </c>
      <c r="G5" s="440"/>
      <c r="I5" s="465"/>
    </row>
    <row r="6" spans="1:9">
      <c r="A6" s="324" t="s">
        <v>384</v>
      </c>
      <c r="B6" s="324"/>
      <c r="C6" s="12"/>
      <c r="D6" s="325"/>
      <c r="E6" s="326"/>
      <c r="F6" s="326">
        <v>180000</v>
      </c>
      <c r="G6" s="347"/>
      <c r="H6" s="14" t="s">
        <v>471</v>
      </c>
    </row>
    <row r="7" spans="1:9">
      <c r="A7" s="324" t="s">
        <v>472</v>
      </c>
      <c r="B7" s="324"/>
      <c r="C7" s="12"/>
      <c r="D7" s="325"/>
      <c r="E7" s="456"/>
      <c r="F7" s="327">
        <v>100000</v>
      </c>
      <c r="G7" s="347"/>
      <c r="H7" s="14" t="s">
        <v>473</v>
      </c>
    </row>
    <row r="8" spans="1:9">
      <c r="A8" s="441" t="s">
        <v>474</v>
      </c>
      <c r="B8" s="324"/>
      <c r="C8" s="12"/>
      <c r="D8" s="325">
        <v>62500</v>
      </c>
      <c r="E8" s="456"/>
      <c r="F8" s="327"/>
      <c r="G8" s="347"/>
      <c r="H8" s="14" t="s">
        <v>491</v>
      </c>
    </row>
    <row r="9" spans="1:9">
      <c r="A9" s="441" t="s">
        <v>475</v>
      </c>
      <c r="B9" s="324"/>
      <c r="C9" s="12"/>
      <c r="D9" s="325">
        <v>37500</v>
      </c>
      <c r="E9" s="456"/>
      <c r="F9" s="327"/>
      <c r="G9" s="347"/>
      <c r="H9" s="14" t="s">
        <v>492</v>
      </c>
    </row>
    <row r="10" spans="1:9" ht="8.25" customHeight="1">
      <c r="A10" s="317"/>
      <c r="B10" s="317"/>
      <c r="D10" s="328"/>
      <c r="E10" s="328"/>
      <c r="F10" s="329"/>
      <c r="G10" s="440"/>
    </row>
    <row r="11" spans="1:9" ht="15" thickBot="1">
      <c r="A11" s="321" t="s">
        <v>373</v>
      </c>
      <c r="B11" s="321"/>
      <c r="C11" s="322"/>
      <c r="D11" s="323"/>
      <c r="E11" s="323"/>
      <c r="F11" s="330">
        <f>F13+F24+F36</f>
        <v>194969.4</v>
      </c>
      <c r="G11" s="440"/>
    </row>
    <row r="12" spans="1:9" ht="14.25" customHeight="1">
      <c r="A12" s="331"/>
      <c r="B12" s="331"/>
      <c r="C12" s="567" t="s">
        <v>505</v>
      </c>
      <c r="D12" s="567" t="s">
        <v>375</v>
      </c>
      <c r="E12" s="567" t="s">
        <v>376</v>
      </c>
      <c r="F12" s="332"/>
      <c r="G12" s="440"/>
    </row>
    <row r="13" spans="1:9" s="12" customFormat="1" ht="12">
      <c r="A13" s="333" t="s">
        <v>476</v>
      </c>
      <c r="B13" s="334" t="s">
        <v>374</v>
      </c>
      <c r="C13" s="568"/>
      <c r="D13" s="568"/>
      <c r="E13" s="568"/>
      <c r="F13" s="335">
        <f>SUM(F14:F22)</f>
        <v>39836.400000000001</v>
      </c>
      <c r="G13" s="347"/>
      <c r="H13" s="192" t="s">
        <v>494</v>
      </c>
      <c r="I13" s="465">
        <v>520332</v>
      </c>
    </row>
    <row r="14" spans="1:9" s="12" customFormat="1" ht="12">
      <c r="A14" s="324" t="s">
        <v>377</v>
      </c>
      <c r="B14" s="336">
        <v>2000</v>
      </c>
      <c r="C14" s="325">
        <f>20*7.5</f>
        <v>150</v>
      </c>
      <c r="D14" s="457">
        <v>2500</v>
      </c>
      <c r="E14" s="336">
        <f>8*498*0.85</f>
        <v>3386.4</v>
      </c>
      <c r="F14" s="443">
        <f>SUM(B14:E14)</f>
        <v>8036.4</v>
      </c>
      <c r="G14" s="347"/>
      <c r="H14" s="12" t="s">
        <v>477</v>
      </c>
      <c r="I14" s="442"/>
    </row>
    <row r="15" spans="1:9" s="12" customFormat="1" ht="12">
      <c r="A15" s="324" t="s">
        <v>478</v>
      </c>
      <c r="B15" s="336">
        <v>2000</v>
      </c>
      <c r="C15" s="325">
        <f>20*7.5</f>
        <v>150</v>
      </c>
      <c r="D15" s="336">
        <v>2000</v>
      </c>
      <c r="E15" s="336">
        <v>0</v>
      </c>
      <c r="F15" s="443">
        <f>SUM(B15:E15)</f>
        <v>4150</v>
      </c>
      <c r="G15" s="347"/>
      <c r="I15" s="442"/>
    </row>
    <row r="16" spans="1:9" s="12" customFormat="1" ht="12">
      <c r="A16" s="324" t="s">
        <v>479</v>
      </c>
      <c r="B16" s="336">
        <v>2000</v>
      </c>
      <c r="C16" s="325">
        <f>20*7.5</f>
        <v>150</v>
      </c>
      <c r="D16" s="336">
        <v>2000</v>
      </c>
      <c r="E16" s="336">
        <v>0</v>
      </c>
      <c r="F16" s="443">
        <f>SUM(B16:E16)</f>
        <v>4150</v>
      </c>
      <c r="G16" s="347"/>
      <c r="I16" s="442"/>
    </row>
    <row r="17" spans="1:9" s="12" customFormat="1" ht="12">
      <c r="A17" s="324" t="s">
        <v>378</v>
      </c>
      <c r="B17" s="324">
        <v>0</v>
      </c>
      <c r="C17" s="325">
        <f>4*20*7.5</f>
        <v>600</v>
      </c>
      <c r="D17" s="336">
        <v>8000</v>
      </c>
      <c r="E17" s="336">
        <v>0</v>
      </c>
      <c r="F17" s="443">
        <f>SUM(B17:E17)</f>
        <v>8600</v>
      </c>
      <c r="G17" s="347"/>
      <c r="H17" s="12" t="s">
        <v>480</v>
      </c>
    </row>
    <row r="18" spans="1:9" s="12" customFormat="1" ht="12">
      <c r="A18" s="324" t="s">
        <v>379</v>
      </c>
      <c r="B18" s="337">
        <v>0</v>
      </c>
      <c r="C18" s="325">
        <f>4*20*7.5</f>
        <v>600</v>
      </c>
      <c r="D18" s="336">
        <v>8000</v>
      </c>
      <c r="E18" s="336">
        <v>0</v>
      </c>
      <c r="F18" s="443">
        <f>SUM(B18:E18)</f>
        <v>8600</v>
      </c>
      <c r="G18" s="347"/>
      <c r="H18" s="12" t="s">
        <v>480</v>
      </c>
    </row>
    <row r="19" spans="1:9" s="12" customFormat="1" ht="12">
      <c r="A19" s="324" t="s">
        <v>567</v>
      </c>
      <c r="B19" s="324"/>
      <c r="C19" s="325"/>
      <c r="D19" s="336"/>
      <c r="E19" s="336"/>
      <c r="F19" s="443">
        <f>8*70*7.5</f>
        <v>4200</v>
      </c>
      <c r="G19" s="347"/>
    </row>
    <row r="20" spans="1:9" s="12" customFormat="1" ht="12">
      <c r="A20" s="324" t="s">
        <v>564</v>
      </c>
      <c r="B20" s="324"/>
      <c r="C20" s="325"/>
      <c r="D20" s="336"/>
      <c r="E20" s="336"/>
      <c r="F20" s="443">
        <v>0</v>
      </c>
      <c r="G20" s="347"/>
    </row>
    <row r="21" spans="1:9" s="12" customFormat="1" ht="12">
      <c r="A21" s="324" t="s">
        <v>565</v>
      </c>
      <c r="B21" s="324"/>
      <c r="C21" s="325"/>
      <c r="D21" s="336"/>
      <c r="E21" s="336"/>
      <c r="F21" s="443">
        <f>140*7.5</f>
        <v>1050</v>
      </c>
      <c r="G21" s="347"/>
    </row>
    <row r="22" spans="1:9" s="12" customFormat="1" ht="12">
      <c r="A22" s="324" t="s">
        <v>566</v>
      </c>
      <c r="B22" s="324"/>
      <c r="C22" s="444"/>
      <c r="D22" s="481"/>
      <c r="E22" s="481"/>
      <c r="F22" s="443">
        <f>140*7.5</f>
        <v>1050</v>
      </c>
      <c r="G22" s="347"/>
    </row>
    <row r="23" spans="1:9" s="12" customFormat="1" ht="15" customHeight="1">
      <c r="A23" s="324"/>
      <c r="B23" s="324"/>
      <c r="C23" s="569" t="s">
        <v>505</v>
      </c>
      <c r="D23" s="564" t="s">
        <v>504</v>
      </c>
      <c r="E23" s="569" t="s">
        <v>376</v>
      </c>
      <c r="F23" s="338"/>
      <c r="G23" s="347"/>
    </row>
    <row r="24" spans="1:9" s="12" customFormat="1" ht="12">
      <c r="A24" s="333" t="s">
        <v>563</v>
      </c>
      <c r="B24" s="334" t="s">
        <v>374</v>
      </c>
      <c r="C24" s="568"/>
      <c r="D24" s="565"/>
      <c r="E24" s="568"/>
      <c r="F24" s="335">
        <f>SUM(F25:F33)</f>
        <v>55333</v>
      </c>
      <c r="G24" s="347"/>
      <c r="H24" s="12" t="s">
        <v>493</v>
      </c>
      <c r="I24" s="465">
        <v>520334</v>
      </c>
    </row>
    <row r="25" spans="1:9" s="12" customFormat="1" ht="12">
      <c r="A25" s="324" t="s">
        <v>377</v>
      </c>
      <c r="B25" s="325">
        <v>6000</v>
      </c>
      <c r="C25" s="457">
        <v>300</v>
      </c>
      <c r="D25" s="457">
        <v>5000</v>
      </c>
      <c r="E25" s="336">
        <f>10*498*0.85</f>
        <v>4233</v>
      </c>
      <c r="F25" s="443">
        <f>SUM(B25:E25)</f>
        <v>15533</v>
      </c>
      <c r="G25" s="347"/>
      <c r="H25" s="12" t="s">
        <v>477</v>
      </c>
      <c r="I25" s="442"/>
    </row>
    <row r="26" spans="1:9" s="12" customFormat="1" ht="12">
      <c r="A26" s="324" t="s">
        <v>481</v>
      </c>
      <c r="B26" s="325">
        <v>5000</v>
      </c>
      <c r="C26" s="457">
        <v>300</v>
      </c>
      <c r="D26" s="457">
        <v>2500</v>
      </c>
      <c r="E26" s="336">
        <v>0</v>
      </c>
      <c r="F26" s="443">
        <f>SUM(B26:E26)</f>
        <v>7800</v>
      </c>
      <c r="G26" s="347"/>
      <c r="I26" s="442"/>
    </row>
    <row r="27" spans="1:9" s="12" customFormat="1" ht="12">
      <c r="A27" s="324" t="s">
        <v>482</v>
      </c>
      <c r="B27" s="325">
        <v>5000</v>
      </c>
      <c r="C27" s="457">
        <v>300</v>
      </c>
      <c r="D27" s="457">
        <v>2500</v>
      </c>
      <c r="E27" s="336">
        <v>0</v>
      </c>
      <c r="F27" s="443">
        <f>SUM(B27:E27)</f>
        <v>7800</v>
      </c>
      <c r="G27" s="347"/>
    </row>
    <row r="28" spans="1:9" s="12" customFormat="1" ht="12">
      <c r="A28" s="324" t="s">
        <v>378</v>
      </c>
      <c r="B28" s="325">
        <v>0</v>
      </c>
      <c r="C28" s="325">
        <f>4*35*7.5</f>
        <v>1050</v>
      </c>
      <c r="D28" s="336">
        <v>10000</v>
      </c>
      <c r="E28" s="336">
        <v>0</v>
      </c>
      <c r="F28" s="443">
        <f>SUM(B28:E28)</f>
        <v>11050</v>
      </c>
      <c r="G28" s="347"/>
      <c r="H28" s="12" t="s">
        <v>480</v>
      </c>
    </row>
    <row r="29" spans="1:9" s="12" customFormat="1" ht="12">
      <c r="A29" s="324" t="s">
        <v>379</v>
      </c>
      <c r="B29" s="337">
        <v>0</v>
      </c>
      <c r="C29" s="325">
        <f>4*35*7.5</f>
        <v>1050</v>
      </c>
      <c r="D29" s="336">
        <v>10000</v>
      </c>
      <c r="E29" s="336">
        <v>0</v>
      </c>
      <c r="F29" s="443">
        <f>SUM(B29:E29)</f>
        <v>11050</v>
      </c>
      <c r="G29" s="347"/>
      <c r="H29" s="12" t="s">
        <v>480</v>
      </c>
    </row>
    <row r="30" spans="1:9" s="12" customFormat="1" ht="12">
      <c r="A30" s="324" t="s">
        <v>567</v>
      </c>
      <c r="B30" s="324"/>
      <c r="C30" s="325"/>
      <c r="D30" s="336"/>
      <c r="E30" s="336"/>
      <c r="F30" s="458">
        <v>0</v>
      </c>
      <c r="G30" s="347"/>
    </row>
    <row r="31" spans="1:9" s="12" customFormat="1" ht="12">
      <c r="A31" s="324" t="s">
        <v>564</v>
      </c>
      <c r="B31" s="324"/>
      <c r="C31" s="325"/>
      <c r="D31" s="336"/>
      <c r="E31" s="336"/>
      <c r="F31" s="443">
        <v>0</v>
      </c>
      <c r="G31" s="347"/>
      <c r="H31" s="12" t="s">
        <v>483</v>
      </c>
    </row>
    <row r="32" spans="1:9" s="12" customFormat="1" ht="12">
      <c r="A32" s="324" t="s">
        <v>565</v>
      </c>
      <c r="B32" s="324"/>
      <c r="C32" s="325"/>
      <c r="D32" s="336"/>
      <c r="E32" s="336"/>
      <c r="F32" s="443">
        <f>140*7.5</f>
        <v>1050</v>
      </c>
      <c r="G32" s="347"/>
    </row>
    <row r="33" spans="1:9" s="12" customFormat="1" ht="12">
      <c r="A33" s="324" t="s">
        <v>566</v>
      </c>
      <c r="B33" s="324"/>
      <c r="C33" s="325"/>
      <c r="D33" s="336"/>
      <c r="E33" s="336"/>
      <c r="F33" s="443">
        <f>140*7.5</f>
        <v>1050</v>
      </c>
      <c r="G33" s="347"/>
    </row>
    <row r="34" spans="1:9" s="12" customFormat="1" ht="12">
      <c r="A34" s="339"/>
      <c r="B34" s="339"/>
      <c r="C34" s="340"/>
      <c r="D34" s="340"/>
      <c r="E34" s="340"/>
      <c r="F34" s="341"/>
      <c r="G34" s="347"/>
    </row>
    <row r="35" spans="1:9" s="12" customFormat="1" ht="12">
      <c r="A35" s="324"/>
      <c r="B35" s="566" t="s">
        <v>380</v>
      </c>
      <c r="C35" s="566"/>
      <c r="D35" s="342" t="s">
        <v>381</v>
      </c>
      <c r="E35" s="342" t="s">
        <v>382</v>
      </c>
      <c r="G35" s="347"/>
    </row>
    <row r="36" spans="1:9" s="12" customFormat="1" ht="12">
      <c r="A36" s="333" t="s">
        <v>383</v>
      </c>
      <c r="B36" s="343" t="s">
        <v>384</v>
      </c>
      <c r="C36" s="343" t="s">
        <v>385</v>
      </c>
      <c r="D36" s="334" t="s">
        <v>386</v>
      </c>
      <c r="E36" s="334" t="s">
        <v>387</v>
      </c>
      <c r="F36" s="335">
        <f>SUM(F37:F47)</f>
        <v>99800</v>
      </c>
      <c r="G36" s="347"/>
      <c r="I36" s="465">
        <v>520338</v>
      </c>
    </row>
    <row r="37" spans="1:9" s="12" customFormat="1" ht="12">
      <c r="A37" s="344" t="s">
        <v>388</v>
      </c>
      <c r="B37" s="446">
        <v>3500</v>
      </c>
      <c r="C37" s="345">
        <v>5000</v>
      </c>
      <c r="D37" s="325">
        <v>3000</v>
      </c>
      <c r="E37" s="340">
        <v>0</v>
      </c>
      <c r="F37" s="345">
        <f>SUM(B37:E37)</f>
        <v>11500</v>
      </c>
      <c r="G37" s="347"/>
    </row>
    <row r="38" spans="1:9" s="12" customFormat="1" ht="12">
      <c r="A38" s="344" t="s">
        <v>389</v>
      </c>
      <c r="B38" s="444">
        <v>0</v>
      </c>
      <c r="C38" s="345">
        <v>8000</v>
      </c>
      <c r="D38" s="325">
        <v>3000</v>
      </c>
      <c r="E38" s="340">
        <v>0</v>
      </c>
      <c r="F38" s="345">
        <f>SUM(B38:E38)</f>
        <v>11000</v>
      </c>
      <c r="G38" s="347"/>
    </row>
    <row r="39" spans="1:9" s="12" customFormat="1" ht="12">
      <c r="A39" s="324" t="s">
        <v>390</v>
      </c>
      <c r="B39" s="325">
        <v>3000</v>
      </c>
      <c r="C39" s="347">
        <v>5000</v>
      </c>
      <c r="D39" s="325">
        <v>3000</v>
      </c>
      <c r="E39" s="325">
        <v>0</v>
      </c>
      <c r="F39" s="345">
        <f>SUM(B39:E39)</f>
        <v>11000</v>
      </c>
      <c r="G39" s="347"/>
    </row>
    <row r="40" spans="1:9" s="12" customFormat="1" ht="12">
      <c r="A40" s="346" t="s">
        <v>391</v>
      </c>
      <c r="B40" s="336">
        <v>4300</v>
      </c>
      <c r="C40" s="325">
        <v>5000</v>
      </c>
      <c r="D40" s="325">
        <v>3000</v>
      </c>
      <c r="E40" s="325">
        <v>0</v>
      </c>
      <c r="F40" s="345">
        <f>SUM(B40:E40)</f>
        <v>12300</v>
      </c>
      <c r="G40" s="347"/>
    </row>
    <row r="41" spans="1:9" s="12" customFormat="1" ht="12">
      <c r="A41" s="346" t="s">
        <v>484</v>
      </c>
      <c r="B41" s="336">
        <v>0</v>
      </c>
      <c r="C41" s="336">
        <v>5000</v>
      </c>
      <c r="D41" s="325">
        <v>3000</v>
      </c>
      <c r="E41" s="325">
        <v>0</v>
      </c>
      <c r="F41" s="345">
        <f>SUM(B41:E41)</f>
        <v>8000</v>
      </c>
      <c r="G41" s="347"/>
    </row>
    <row r="42" spans="1:9" s="12" customFormat="1" ht="12">
      <c r="A42" s="346"/>
      <c r="B42" s="324"/>
      <c r="D42" s="325"/>
      <c r="E42" s="325"/>
      <c r="F42" s="347"/>
      <c r="G42" s="347"/>
    </row>
    <row r="43" spans="1:9" s="12" customFormat="1" ht="12">
      <c r="A43" s="324" t="s">
        <v>392</v>
      </c>
      <c r="B43" s="324">
        <v>0</v>
      </c>
      <c r="C43" s="347">
        <v>5000</v>
      </c>
      <c r="D43" s="325">
        <v>3000</v>
      </c>
      <c r="E43" s="325">
        <v>0</v>
      </c>
      <c r="F43" s="345">
        <f>SUM(B43:E43)</f>
        <v>8000</v>
      </c>
      <c r="G43" s="347"/>
    </row>
    <row r="44" spans="1:9" s="12" customFormat="1" ht="12">
      <c r="A44" s="324" t="s">
        <v>393</v>
      </c>
      <c r="B44" s="324">
        <v>3000</v>
      </c>
      <c r="C44" s="347">
        <v>5000</v>
      </c>
      <c r="D44" s="325">
        <v>3000</v>
      </c>
      <c r="E44" s="325">
        <v>0</v>
      </c>
      <c r="F44" s="345">
        <f>SUM(B44:E44)</f>
        <v>11000</v>
      </c>
      <c r="G44" s="347"/>
    </row>
    <row r="45" spans="1:9" s="12" customFormat="1" ht="12">
      <c r="A45" s="324" t="s">
        <v>394</v>
      </c>
      <c r="B45" s="324">
        <v>0</v>
      </c>
      <c r="C45" s="458">
        <v>5000</v>
      </c>
      <c r="D45" s="325">
        <v>3000</v>
      </c>
      <c r="E45" s="325">
        <v>0</v>
      </c>
      <c r="F45" s="345">
        <f>SUM(B45:E45)</f>
        <v>8000</v>
      </c>
      <c r="G45" s="347"/>
    </row>
    <row r="46" spans="1:9" s="12" customFormat="1" ht="12">
      <c r="A46" s="346" t="s">
        <v>395</v>
      </c>
      <c r="B46" s="324">
        <v>0</v>
      </c>
      <c r="C46" s="458">
        <v>5000</v>
      </c>
      <c r="D46" s="347">
        <v>3000</v>
      </c>
      <c r="E46" s="325">
        <v>0</v>
      </c>
      <c r="F46" s="345">
        <f>SUM(B46:E46)</f>
        <v>8000</v>
      </c>
      <c r="G46" s="347"/>
    </row>
    <row r="47" spans="1:9" s="12" customFormat="1" ht="12">
      <c r="A47" s="346" t="s">
        <v>396</v>
      </c>
      <c r="B47" s="324">
        <v>0</v>
      </c>
      <c r="C47" s="347">
        <v>8000</v>
      </c>
      <c r="D47" s="347">
        <v>3000</v>
      </c>
      <c r="E47" s="325">
        <v>0</v>
      </c>
      <c r="F47" s="345">
        <f>SUM(B47:E47)</f>
        <v>11000</v>
      </c>
      <c r="G47" s="347"/>
    </row>
    <row r="48" spans="1:9" s="12" customFormat="1" ht="12">
      <c r="A48" s="346"/>
      <c r="B48" s="324"/>
      <c r="D48" s="325"/>
      <c r="E48" s="325"/>
      <c r="F48" s="347"/>
      <c r="G48" s="347"/>
    </row>
    <row r="49" spans="1:9">
      <c r="A49" s="317"/>
      <c r="B49" s="566" t="s">
        <v>380</v>
      </c>
      <c r="C49" s="566"/>
      <c r="D49" s="325"/>
      <c r="E49" s="342" t="s">
        <v>485</v>
      </c>
      <c r="F49" s="445"/>
      <c r="G49" s="440"/>
    </row>
    <row r="50" spans="1:9" ht="15" thickBot="1">
      <c r="A50" s="321" t="s">
        <v>520</v>
      </c>
      <c r="B50" s="348" t="s">
        <v>384</v>
      </c>
      <c r="C50" s="348" t="s">
        <v>385</v>
      </c>
      <c r="D50" s="348"/>
      <c r="E50" s="349" t="s">
        <v>387</v>
      </c>
      <c r="F50" s="330">
        <f>SUM(F51:F57)</f>
        <v>101000</v>
      </c>
      <c r="G50" s="440"/>
      <c r="I50" s="465">
        <v>520326</v>
      </c>
    </row>
    <row r="51" spans="1:9">
      <c r="A51" s="344" t="s">
        <v>486</v>
      </c>
      <c r="B51" s="340">
        <v>0</v>
      </c>
      <c r="C51" s="345">
        <v>6000</v>
      </c>
      <c r="D51" s="340"/>
      <c r="E51" s="350">
        <v>27000</v>
      </c>
      <c r="F51" s="345">
        <f>SUM(C51:E51)</f>
        <v>33000</v>
      </c>
      <c r="G51" s="347"/>
      <c r="H51" s="12"/>
    </row>
    <row r="52" spans="1:9">
      <c r="A52" s="346" t="s">
        <v>487</v>
      </c>
      <c r="B52" s="340"/>
      <c r="C52" s="345"/>
      <c r="D52" s="340"/>
      <c r="E52" s="350"/>
      <c r="F52" s="345"/>
      <c r="G52" s="347"/>
      <c r="H52" s="12"/>
    </row>
    <row r="53" spans="1:9">
      <c r="A53" s="324" t="s">
        <v>488</v>
      </c>
      <c r="B53" s="325">
        <v>2000</v>
      </c>
      <c r="C53" s="347">
        <v>0</v>
      </c>
      <c r="D53" s="336"/>
      <c r="E53" s="336">
        <v>9000</v>
      </c>
      <c r="F53" s="345">
        <v>11000</v>
      </c>
      <c r="G53" s="347"/>
      <c r="H53" s="12"/>
    </row>
    <row r="54" spans="1:9">
      <c r="A54" s="346" t="s">
        <v>489</v>
      </c>
      <c r="B54" s="324"/>
      <c r="C54" s="347"/>
      <c r="D54" s="336"/>
      <c r="E54" s="336"/>
      <c r="F54" s="345"/>
      <c r="G54" s="347"/>
      <c r="H54" s="12"/>
    </row>
    <row r="55" spans="1:9">
      <c r="A55" s="324" t="s">
        <v>474</v>
      </c>
      <c r="B55" s="324">
        <v>0</v>
      </c>
      <c r="C55" s="336">
        <v>12000</v>
      </c>
      <c r="D55" s="336"/>
      <c r="E55" s="336"/>
      <c r="F55" s="345">
        <f>SUM(C55:E55)</f>
        <v>12000</v>
      </c>
      <c r="G55" s="347"/>
      <c r="H55" s="12"/>
    </row>
    <row r="56" spans="1:9">
      <c r="A56" s="324" t="s">
        <v>475</v>
      </c>
      <c r="B56" s="324">
        <v>0</v>
      </c>
      <c r="C56" s="347">
        <v>12000</v>
      </c>
      <c r="D56" s="336"/>
      <c r="E56" s="336"/>
      <c r="F56" s="345">
        <f>SUM(C56:E56)</f>
        <v>12000</v>
      </c>
      <c r="G56" s="347"/>
      <c r="H56" s="12"/>
    </row>
    <row r="57" spans="1:9">
      <c r="A57" s="324" t="s">
        <v>490</v>
      </c>
      <c r="B57" s="324">
        <v>0</v>
      </c>
      <c r="C57" s="347">
        <v>6000</v>
      </c>
      <c r="D57" s="336"/>
      <c r="E57" s="336">
        <v>27000</v>
      </c>
      <c r="F57" s="345">
        <f>SUM(C57:E57)</f>
        <v>33000</v>
      </c>
      <c r="G57" s="347"/>
      <c r="H57" s="12"/>
    </row>
    <row r="58" spans="1:9" ht="10.5" customHeight="1">
      <c r="A58" s="324"/>
      <c r="B58" s="324"/>
      <c r="C58" s="12"/>
      <c r="D58" s="325"/>
      <c r="E58" s="325"/>
      <c r="F58" s="12"/>
      <c r="G58" s="347"/>
      <c r="H58" s="12"/>
    </row>
    <row r="59" spans="1:9" ht="16.2" thickBot="1">
      <c r="A59" s="319" t="s">
        <v>397</v>
      </c>
      <c r="B59" s="319"/>
      <c r="F59" s="351">
        <f>F5+F11+F50</f>
        <v>575969.4</v>
      </c>
      <c r="G59" s="440"/>
    </row>
    <row r="60" spans="1:9" ht="13.5" customHeight="1" thickTop="1">
      <c r="A60" s="319"/>
      <c r="B60" s="319"/>
      <c r="F60" s="352"/>
      <c r="G60" s="440"/>
    </row>
    <row r="61" spans="1:9">
      <c r="E61" s="451"/>
      <c r="F61" s="440"/>
    </row>
    <row r="62" spans="1:9">
      <c r="E62" s="452"/>
      <c r="F62" s="440"/>
    </row>
  </sheetData>
  <mergeCells count="9">
    <mergeCell ref="F3:F4"/>
    <mergeCell ref="D23:D24"/>
    <mergeCell ref="B35:C35"/>
    <mergeCell ref="B49:C49"/>
    <mergeCell ref="D12:D13"/>
    <mergeCell ref="E12:E13"/>
    <mergeCell ref="C12:C13"/>
    <mergeCell ref="C23:C24"/>
    <mergeCell ref="E23:E24"/>
  </mergeCells>
  <pageMargins left="0.59055118110236227" right="0.31496062992125984" top="0.35433070866141736" bottom="0.35433070866141736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CDA9-3CD5-4BA7-83C7-3FEDCEE60C71}">
  <dimension ref="A1:V38"/>
  <sheetViews>
    <sheetView workbookViewId="0">
      <selection activeCell="D25" sqref="D25"/>
    </sheetView>
  </sheetViews>
  <sheetFormatPr defaultRowHeight="14.4"/>
  <cols>
    <col min="1" max="1" width="9.88671875" bestFit="1" customWidth="1"/>
    <col min="2" max="2" width="43" bestFit="1" customWidth="1"/>
    <col min="4" max="4" width="15.6640625" customWidth="1"/>
    <col min="5" max="5" width="11.44140625" customWidth="1"/>
    <col min="6" max="6" width="1.109375" style="288" customWidth="1"/>
    <col min="7" max="7" width="9.5546875" customWidth="1"/>
    <col min="8" max="9" width="4" bestFit="1" customWidth="1"/>
    <col min="10" max="10" width="10.88671875" customWidth="1"/>
    <col min="11" max="11" width="5" bestFit="1" customWidth="1"/>
    <col min="12" max="12" width="4" bestFit="1" customWidth="1"/>
    <col min="13" max="13" width="44" bestFit="1" customWidth="1"/>
    <col min="14" max="14" width="3" style="483" bestFit="1" customWidth="1"/>
    <col min="15" max="15" width="4" bestFit="1" customWidth="1"/>
    <col min="16" max="16" width="30.44140625" bestFit="1" customWidth="1"/>
    <col min="17" max="17" width="3" style="289" bestFit="1" customWidth="1"/>
  </cols>
  <sheetData>
    <row r="1" spans="1:22">
      <c r="A1" s="485"/>
      <c r="B1" s="486" t="s">
        <v>532</v>
      </c>
      <c r="C1" s="485"/>
      <c r="D1" s="485"/>
      <c r="E1" s="485"/>
      <c r="F1" s="487"/>
      <c r="G1" s="485"/>
      <c r="H1" s="485"/>
      <c r="I1" s="485"/>
      <c r="J1" s="485"/>
      <c r="K1" s="485"/>
      <c r="L1" s="485"/>
      <c r="M1" s="485"/>
      <c r="N1" s="488"/>
      <c r="O1" s="485"/>
      <c r="P1" s="485"/>
      <c r="Q1" s="489"/>
    </row>
    <row r="2" spans="1:22">
      <c r="A2" s="1" t="s">
        <v>331</v>
      </c>
      <c r="G2" s="575" t="s">
        <v>332</v>
      </c>
      <c r="H2" s="570">
        <f>SUM(K2:K10)</f>
        <v>101</v>
      </c>
      <c r="I2" s="570" t="s">
        <v>333</v>
      </c>
      <c r="J2" s="576" t="s">
        <v>533</v>
      </c>
      <c r="K2" s="570">
        <f>SUM(Q2:Q5)</f>
        <v>83</v>
      </c>
      <c r="L2" s="570" t="s">
        <v>333</v>
      </c>
      <c r="M2" t="s">
        <v>534</v>
      </c>
      <c r="N2" s="570" t="s">
        <v>535</v>
      </c>
      <c r="O2" s="570"/>
      <c r="P2" s="570"/>
      <c r="Q2" s="490">
        <v>33</v>
      </c>
    </row>
    <row r="3" spans="1:22">
      <c r="E3" s="289"/>
      <c r="G3" s="575"/>
      <c r="H3" s="570"/>
      <c r="I3" s="570"/>
      <c r="J3" s="576"/>
      <c r="K3" s="570"/>
      <c r="L3" s="570"/>
      <c r="M3" t="s">
        <v>536</v>
      </c>
      <c r="N3" s="570" t="s">
        <v>535</v>
      </c>
      <c r="O3" s="570"/>
      <c r="P3" s="570"/>
      <c r="Q3" s="490">
        <v>33</v>
      </c>
    </row>
    <row r="4" spans="1:22">
      <c r="B4" t="s">
        <v>337</v>
      </c>
      <c r="C4" s="9">
        <f>C30*Q2+C31*Q3</f>
        <v>136950</v>
      </c>
      <c r="E4" s="491"/>
      <c r="G4" s="575"/>
      <c r="H4" s="570"/>
      <c r="I4" s="570"/>
      <c r="J4" s="576"/>
      <c r="K4" s="570"/>
      <c r="L4" s="570"/>
      <c r="M4" t="s">
        <v>537</v>
      </c>
      <c r="N4" s="570" t="s">
        <v>535</v>
      </c>
      <c r="O4" s="570"/>
      <c r="P4" s="570"/>
      <c r="Q4" s="490">
        <v>10</v>
      </c>
    </row>
    <row r="5" spans="1:22">
      <c r="B5" t="s">
        <v>339</v>
      </c>
      <c r="C5" s="9">
        <f>C33*Q4</f>
        <v>18870</v>
      </c>
      <c r="D5" s="491"/>
      <c r="E5" s="491"/>
      <c r="G5" s="575"/>
      <c r="H5" s="570"/>
      <c r="I5" s="570"/>
      <c r="J5" s="576"/>
      <c r="K5" s="570"/>
      <c r="L5" s="570"/>
      <c r="M5" t="s">
        <v>538</v>
      </c>
      <c r="N5" s="570" t="s">
        <v>535</v>
      </c>
      <c r="O5" s="570"/>
      <c r="P5" s="570"/>
      <c r="Q5" s="490">
        <v>7</v>
      </c>
      <c r="T5" s="289" t="s">
        <v>539</v>
      </c>
      <c r="V5" t="s">
        <v>540</v>
      </c>
    </row>
    <row r="6" spans="1:22">
      <c r="B6" t="s">
        <v>541</v>
      </c>
      <c r="C6" s="19">
        <v>9000</v>
      </c>
      <c r="D6" s="492"/>
      <c r="E6" s="492"/>
      <c r="G6" s="575"/>
      <c r="H6" s="570"/>
      <c r="I6" s="570"/>
      <c r="J6" s="573" t="s">
        <v>542</v>
      </c>
      <c r="K6" s="570">
        <f>SUM(N6,Q9,Q10)</f>
        <v>18</v>
      </c>
      <c r="L6" s="570" t="s">
        <v>333</v>
      </c>
      <c r="M6" s="574" t="s">
        <v>344</v>
      </c>
      <c r="N6" s="570">
        <f>SUM(Q6:Q8)</f>
        <v>13</v>
      </c>
      <c r="O6" s="570" t="s">
        <v>333</v>
      </c>
      <c r="P6" t="s">
        <v>543</v>
      </c>
      <c r="Q6" s="493">
        <v>0</v>
      </c>
      <c r="T6" s="289">
        <f>C27</f>
        <v>2445</v>
      </c>
      <c r="V6">
        <f>T6-2445</f>
        <v>0</v>
      </c>
    </row>
    <row r="7" spans="1:22">
      <c r="G7" s="575"/>
      <c r="H7" s="570"/>
      <c r="I7" s="570"/>
      <c r="J7" s="573"/>
      <c r="K7" s="570"/>
      <c r="L7" s="570"/>
      <c r="M7" s="574"/>
      <c r="N7" s="570"/>
      <c r="O7" s="570"/>
      <c r="P7" t="s">
        <v>544</v>
      </c>
      <c r="Q7" s="493">
        <v>7</v>
      </c>
      <c r="R7" t="s">
        <v>545</v>
      </c>
    </row>
    <row r="8" spans="1:22">
      <c r="B8" s="494" t="s">
        <v>348</v>
      </c>
      <c r="C8" s="559">
        <f>SUM(C4:C6)</f>
        <v>164820</v>
      </c>
      <c r="G8" s="575"/>
      <c r="H8" s="570"/>
      <c r="I8" s="570"/>
      <c r="J8" s="573"/>
      <c r="K8" s="570"/>
      <c r="L8" s="570"/>
      <c r="M8" s="574"/>
      <c r="N8" s="570"/>
      <c r="O8" s="570"/>
      <c r="P8" t="s">
        <v>349</v>
      </c>
      <c r="Q8" s="493">
        <v>6</v>
      </c>
      <c r="R8" t="s">
        <v>546</v>
      </c>
    </row>
    <row r="9" spans="1:22">
      <c r="A9" s="495"/>
      <c r="B9" s="495"/>
      <c r="C9" s="495"/>
      <c r="G9" s="575"/>
      <c r="H9" s="570"/>
      <c r="I9" s="570"/>
      <c r="J9" s="573"/>
      <c r="K9" s="570"/>
      <c r="L9" s="570"/>
      <c r="M9" t="s">
        <v>351</v>
      </c>
      <c r="N9" s="570" t="s">
        <v>535</v>
      </c>
      <c r="O9" s="570"/>
      <c r="P9" s="570"/>
      <c r="Q9" s="493">
        <v>2</v>
      </c>
      <c r="R9" t="s">
        <v>547</v>
      </c>
      <c r="T9" s="289"/>
    </row>
    <row r="10" spans="1:22">
      <c r="A10" s="495"/>
      <c r="B10" s="495"/>
      <c r="C10" s="495"/>
      <c r="G10" s="575"/>
      <c r="H10" s="570"/>
      <c r="I10" s="570"/>
      <c r="J10" s="573"/>
      <c r="K10" s="570"/>
      <c r="L10" s="570"/>
      <c r="M10" t="s">
        <v>352</v>
      </c>
      <c r="N10" s="570" t="s">
        <v>535</v>
      </c>
      <c r="O10" s="570"/>
      <c r="P10" s="570"/>
      <c r="Q10" s="493">
        <v>3</v>
      </c>
      <c r="R10" t="s">
        <v>548</v>
      </c>
      <c r="T10" s="289"/>
    </row>
    <row r="11" spans="1:22">
      <c r="G11" s="496"/>
      <c r="H11" s="496"/>
      <c r="I11" s="496"/>
      <c r="J11" s="497"/>
      <c r="N11"/>
      <c r="Q11"/>
    </row>
    <row r="12" spans="1:22">
      <c r="A12" s="1" t="s">
        <v>353</v>
      </c>
      <c r="D12" s="571" t="s">
        <v>549</v>
      </c>
      <c r="E12" s="571"/>
      <c r="N12"/>
      <c r="Q12"/>
    </row>
    <row r="13" spans="1:22">
      <c r="B13" t="s">
        <v>355</v>
      </c>
      <c r="C13" s="290">
        <f>D13*H2</f>
        <v>121200</v>
      </c>
      <c r="D13" s="571">
        <v>1200</v>
      </c>
      <c r="E13" s="571"/>
      <c r="N13"/>
      <c r="Q13"/>
    </row>
    <row r="14" spans="1:22">
      <c r="B14" t="s">
        <v>356</v>
      </c>
      <c r="C14" s="9">
        <v>0</v>
      </c>
      <c r="D14" t="s">
        <v>550</v>
      </c>
      <c r="N14"/>
      <c r="Q14"/>
    </row>
    <row r="15" spans="1:22">
      <c r="B15" t="s">
        <v>357</v>
      </c>
      <c r="C15" s="9">
        <f>Q7*C31</f>
        <v>15225</v>
      </c>
      <c r="N15"/>
      <c r="Q15"/>
    </row>
    <row r="16" spans="1:22">
      <c r="B16" t="s">
        <v>359</v>
      </c>
      <c r="C16" s="9">
        <f>Q9*C31</f>
        <v>4350</v>
      </c>
      <c r="N16"/>
      <c r="Q16"/>
    </row>
    <row r="17" spans="1:17">
      <c r="B17" t="s">
        <v>551</v>
      </c>
      <c r="C17" s="9">
        <v>0</v>
      </c>
      <c r="N17"/>
      <c r="Q17"/>
    </row>
    <row r="18" spans="1:17">
      <c r="B18" t="s">
        <v>552</v>
      </c>
      <c r="C18" s="9">
        <v>1500</v>
      </c>
      <c r="N18"/>
      <c r="Q18"/>
    </row>
    <row r="19" spans="1:17">
      <c r="B19" t="s">
        <v>553</v>
      </c>
      <c r="C19" s="9">
        <f>K6*D19</f>
        <v>5400</v>
      </c>
      <c r="D19" s="571">
        <v>300</v>
      </c>
      <c r="E19" s="571"/>
      <c r="N19"/>
      <c r="Q19"/>
    </row>
    <row r="20" spans="1:17">
      <c r="B20" t="s">
        <v>554</v>
      </c>
      <c r="C20" s="9">
        <v>1500</v>
      </c>
      <c r="D20" s="572">
        <f>C20/K6</f>
        <v>83.333333333333329</v>
      </c>
      <c r="E20" s="572"/>
      <c r="N20"/>
      <c r="Q20"/>
    </row>
    <row r="21" spans="1:17">
      <c r="B21" t="s">
        <v>363</v>
      </c>
      <c r="C21" s="9">
        <v>7200</v>
      </c>
      <c r="N21"/>
      <c r="Q21"/>
    </row>
    <row r="22" spans="1:17">
      <c r="B22" t="s">
        <v>364</v>
      </c>
      <c r="C22" s="9">
        <v>2000</v>
      </c>
      <c r="N22"/>
      <c r="Q22"/>
    </row>
    <row r="23" spans="1:17">
      <c r="B23" t="s">
        <v>555</v>
      </c>
      <c r="C23" s="9">
        <v>4000</v>
      </c>
      <c r="N23"/>
      <c r="Q23"/>
    </row>
    <row r="24" spans="1:17">
      <c r="B24" s="498" t="s">
        <v>556</v>
      </c>
      <c r="C24" s="558">
        <f>SUM(C13:C23)</f>
        <v>162375</v>
      </c>
      <c r="N24"/>
      <c r="Q24"/>
    </row>
    <row r="25" spans="1:17">
      <c r="A25" s="495"/>
      <c r="B25" s="495"/>
      <c r="C25" s="499"/>
      <c r="N25"/>
      <c r="Q25"/>
    </row>
    <row r="26" spans="1:17">
      <c r="C26" s="9"/>
      <c r="N26"/>
      <c r="Q26"/>
    </row>
    <row r="27" spans="1:17">
      <c r="B27" s="500" t="s">
        <v>571</v>
      </c>
      <c r="C27" s="560">
        <f>C8-C24</f>
        <v>2445</v>
      </c>
      <c r="N27"/>
      <c r="Q27"/>
    </row>
    <row r="28" spans="1:17">
      <c r="A28" s="495"/>
      <c r="B28" s="495"/>
      <c r="C28" s="499"/>
      <c r="N28"/>
      <c r="Q28"/>
    </row>
    <row r="29" spans="1:17">
      <c r="C29" s="9"/>
      <c r="N29"/>
      <c r="Q29"/>
    </row>
    <row r="30" spans="1:17">
      <c r="B30" t="s">
        <v>366</v>
      </c>
      <c r="C30" s="501">
        <v>1975</v>
      </c>
      <c r="D30" s="483" t="s">
        <v>557</v>
      </c>
      <c r="N30"/>
      <c r="Q30"/>
    </row>
    <row r="31" spans="1:17">
      <c r="B31" t="s">
        <v>367</v>
      </c>
      <c r="C31" s="501">
        <v>2175</v>
      </c>
      <c r="D31" s="502" t="s">
        <v>557</v>
      </c>
    </row>
    <row r="32" spans="1:17">
      <c r="B32" t="s">
        <v>558</v>
      </c>
      <c r="C32" s="503">
        <v>255</v>
      </c>
      <c r="D32" s="483" t="s">
        <v>559</v>
      </c>
      <c r="E32" s="289" t="s">
        <v>560</v>
      </c>
    </row>
    <row r="33" spans="2:5">
      <c r="B33" t="s">
        <v>561</v>
      </c>
      <c r="C33" s="9">
        <f>E33*C32</f>
        <v>1887</v>
      </c>
      <c r="D33" t="s">
        <v>557</v>
      </c>
      <c r="E33" s="289">
        <v>7.4</v>
      </c>
    </row>
    <row r="34" spans="2:5">
      <c r="C34" s="504"/>
    </row>
    <row r="35" spans="2:5">
      <c r="C35" s="504"/>
    </row>
    <row r="36" spans="2:5">
      <c r="C36" s="504"/>
    </row>
    <row r="37" spans="2:5">
      <c r="C37" s="504"/>
    </row>
    <row r="38" spans="2:5">
      <c r="C38" s="504"/>
    </row>
  </sheetData>
  <mergeCells count="22">
    <mergeCell ref="D20:E20"/>
    <mergeCell ref="N2:P2"/>
    <mergeCell ref="N3:P3"/>
    <mergeCell ref="N4:P4"/>
    <mergeCell ref="N5:P5"/>
    <mergeCell ref="J6:J10"/>
    <mergeCell ref="K6:K10"/>
    <mergeCell ref="L6:L10"/>
    <mergeCell ref="M6:M8"/>
    <mergeCell ref="N6:N8"/>
    <mergeCell ref="O6:O8"/>
    <mergeCell ref="G2:G10"/>
    <mergeCell ref="H2:H10"/>
    <mergeCell ref="I2:I10"/>
    <mergeCell ref="J2:J5"/>
    <mergeCell ref="D19:E19"/>
    <mergeCell ref="K2:K5"/>
    <mergeCell ref="N9:P9"/>
    <mergeCell ref="N10:P10"/>
    <mergeCell ref="D12:E12"/>
    <mergeCell ref="D13:E13"/>
    <mergeCell ref="L2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4">
    <tabColor theme="1"/>
  </sheetPr>
  <dimension ref="A1:Q31"/>
  <sheetViews>
    <sheetView workbookViewId="0">
      <selection activeCell="B3" sqref="B3"/>
    </sheetView>
  </sheetViews>
  <sheetFormatPr defaultRowHeight="14.4"/>
  <cols>
    <col min="1" max="1" width="9.6640625" bestFit="1" customWidth="1"/>
    <col min="2" max="2" width="37.44140625" bestFit="1" customWidth="1"/>
    <col min="5" max="5" width="1.33203125" style="288" customWidth="1"/>
    <col min="6" max="6" width="7.6640625" customWidth="1"/>
    <col min="7" max="7" width="3" bestFit="1" customWidth="1"/>
    <col min="8" max="8" width="4" bestFit="1" customWidth="1"/>
    <col min="9" max="9" width="24.6640625" bestFit="1" customWidth="1"/>
    <col min="10" max="10" width="5" bestFit="1" customWidth="1"/>
    <col min="11" max="11" width="4" bestFit="1" customWidth="1"/>
    <col min="12" max="12" width="42.5546875" bestFit="1" customWidth="1"/>
    <col min="13" max="13" width="3" style="289" bestFit="1" customWidth="1"/>
    <col min="14" max="14" width="3.33203125" customWidth="1"/>
    <col min="15" max="15" width="27.44140625" bestFit="1" customWidth="1"/>
    <col min="16" max="16" width="2" style="289" bestFit="1" customWidth="1"/>
  </cols>
  <sheetData>
    <row r="1" spans="1:17">
      <c r="B1" s="459">
        <v>2017</v>
      </c>
    </row>
    <row r="2" spans="1:17">
      <c r="A2" s="1" t="s">
        <v>331</v>
      </c>
      <c r="F2" s="575" t="s">
        <v>332</v>
      </c>
      <c r="G2" s="570">
        <f>SUM(J2:J10)</f>
        <v>96</v>
      </c>
      <c r="H2" s="570" t="s">
        <v>333</v>
      </c>
      <c r="I2" s="570" t="s">
        <v>334</v>
      </c>
      <c r="J2" s="570">
        <f>SUM(M2:M5)</f>
        <v>77</v>
      </c>
      <c r="K2" s="570" t="s">
        <v>333</v>
      </c>
      <c r="L2" t="s">
        <v>335</v>
      </c>
      <c r="M2" s="289">
        <v>30</v>
      </c>
      <c r="N2">
        <v>22</v>
      </c>
    </row>
    <row r="3" spans="1:17">
      <c r="F3" s="575"/>
      <c r="G3" s="570"/>
      <c r="H3" s="570"/>
      <c r="I3" s="570"/>
      <c r="J3" s="570"/>
      <c r="K3" s="570"/>
      <c r="L3" t="s">
        <v>336</v>
      </c>
      <c r="M3" s="289">
        <v>30</v>
      </c>
      <c r="N3">
        <v>32</v>
      </c>
    </row>
    <row r="4" spans="1:17">
      <c r="B4" t="s">
        <v>337</v>
      </c>
      <c r="C4" s="9">
        <f>C26*M2+C27*M3</f>
        <v>123000</v>
      </c>
      <c r="F4" s="575"/>
      <c r="G4" s="570"/>
      <c r="H4" s="570"/>
      <c r="I4" s="570"/>
      <c r="J4" s="570"/>
      <c r="K4" s="570"/>
      <c r="L4" t="s">
        <v>338</v>
      </c>
      <c r="M4" s="289">
        <v>14</v>
      </c>
      <c r="N4">
        <v>13</v>
      </c>
    </row>
    <row r="5" spans="1:17">
      <c r="B5" t="s">
        <v>339</v>
      </c>
      <c r="C5" s="9">
        <f>C28*M4</f>
        <v>24696</v>
      </c>
      <c r="F5" s="575"/>
      <c r="G5" s="570"/>
      <c r="H5" s="570"/>
      <c r="I5" s="570"/>
      <c r="J5" s="570"/>
      <c r="K5" s="570"/>
      <c r="L5" t="s">
        <v>340</v>
      </c>
      <c r="M5" s="289">
        <v>3</v>
      </c>
      <c r="N5" t="s">
        <v>341</v>
      </c>
    </row>
    <row r="6" spans="1:17">
      <c r="B6" t="s">
        <v>342</v>
      </c>
      <c r="C6" s="9">
        <v>7000</v>
      </c>
      <c r="F6" s="575"/>
      <c r="G6" s="570"/>
      <c r="H6" s="570"/>
      <c r="I6" s="570" t="s">
        <v>343</v>
      </c>
      <c r="J6" s="570">
        <f>SUM(M6:M10)</f>
        <v>19</v>
      </c>
      <c r="K6" s="570" t="s">
        <v>333</v>
      </c>
      <c r="L6" s="574" t="s">
        <v>344</v>
      </c>
      <c r="M6" s="570">
        <f>SUM(P6:P8)</f>
        <v>15</v>
      </c>
      <c r="N6" s="570" t="s">
        <v>333</v>
      </c>
      <c r="O6" t="s">
        <v>345</v>
      </c>
      <c r="P6" s="289">
        <v>2</v>
      </c>
      <c r="Q6" t="s">
        <v>346</v>
      </c>
    </row>
    <row r="7" spans="1:17">
      <c r="C7" s="9"/>
      <c r="F7" s="575"/>
      <c r="G7" s="570"/>
      <c r="H7" s="570"/>
      <c r="I7" s="570"/>
      <c r="J7" s="570"/>
      <c r="K7" s="570"/>
      <c r="L7" s="574"/>
      <c r="M7" s="570"/>
      <c r="N7" s="570"/>
      <c r="O7" t="s">
        <v>347</v>
      </c>
      <c r="P7" s="289">
        <v>8</v>
      </c>
    </row>
    <row r="8" spans="1:17">
      <c r="B8" t="s">
        <v>348</v>
      </c>
      <c r="C8" s="9">
        <f>SUM(C4:C6)</f>
        <v>154696</v>
      </c>
      <c r="F8" s="575"/>
      <c r="G8" s="570"/>
      <c r="H8" s="570"/>
      <c r="I8" s="570"/>
      <c r="J8" s="570"/>
      <c r="K8" s="570"/>
      <c r="L8" s="574"/>
      <c r="M8" s="570"/>
      <c r="N8" s="570"/>
      <c r="O8" t="s">
        <v>349</v>
      </c>
      <c r="P8" s="289">
        <v>5</v>
      </c>
      <c r="Q8" t="s">
        <v>350</v>
      </c>
    </row>
    <row r="9" spans="1:17">
      <c r="C9" s="9"/>
      <c r="F9" s="575"/>
      <c r="G9" s="570"/>
      <c r="H9" s="570"/>
      <c r="I9" s="570"/>
      <c r="J9" s="570"/>
      <c r="K9" s="570"/>
      <c r="L9" t="s">
        <v>351</v>
      </c>
      <c r="M9" s="289">
        <v>2</v>
      </c>
    </row>
    <row r="10" spans="1:17">
      <c r="C10" s="9"/>
      <c r="F10" s="575"/>
      <c r="G10" s="570"/>
      <c r="H10" s="570"/>
      <c r="I10" s="570"/>
      <c r="J10" s="570"/>
      <c r="K10" s="570"/>
      <c r="L10" t="s">
        <v>352</v>
      </c>
      <c r="M10" s="289">
        <v>2</v>
      </c>
    </row>
    <row r="11" spans="1:17">
      <c r="A11" s="1" t="s">
        <v>353</v>
      </c>
      <c r="C11" s="9"/>
      <c r="D11" t="s">
        <v>354</v>
      </c>
    </row>
    <row r="12" spans="1:17">
      <c r="B12" t="s">
        <v>355</v>
      </c>
      <c r="C12" s="290">
        <f>D12*G2</f>
        <v>115200</v>
      </c>
      <c r="D12" s="9">
        <v>1200</v>
      </c>
    </row>
    <row r="13" spans="1:17">
      <c r="B13" t="s">
        <v>356</v>
      </c>
      <c r="C13" s="9">
        <f>J2*D13</f>
        <v>3850</v>
      </c>
      <c r="D13">
        <v>50</v>
      </c>
    </row>
    <row r="14" spans="1:17">
      <c r="B14" t="s">
        <v>357</v>
      </c>
      <c r="C14" s="9">
        <f>P7*C27</f>
        <v>17200</v>
      </c>
    </row>
    <row r="15" spans="1:17">
      <c r="B15" t="s">
        <v>359</v>
      </c>
      <c r="C15" s="9">
        <f>M9*C27</f>
        <v>4300</v>
      </c>
    </row>
    <row r="16" spans="1:17">
      <c r="B16" t="s">
        <v>360</v>
      </c>
      <c r="C16" s="9">
        <v>6450</v>
      </c>
    </row>
    <row r="17" spans="2:6" customFormat="1">
      <c r="B17" t="s">
        <v>361</v>
      </c>
      <c r="C17" s="9">
        <v>1500</v>
      </c>
      <c r="E17" s="288"/>
    </row>
    <row r="18" spans="2:6" customFormat="1">
      <c r="B18" t="s">
        <v>362</v>
      </c>
      <c r="C18" s="9">
        <f>J6*D18</f>
        <v>4750</v>
      </c>
      <c r="D18">
        <f>250</f>
        <v>250</v>
      </c>
      <c r="E18" s="288"/>
    </row>
    <row r="19" spans="2:6" customFormat="1">
      <c r="B19" t="s">
        <v>363</v>
      </c>
      <c r="C19" s="9">
        <v>7100</v>
      </c>
      <c r="E19" s="288"/>
    </row>
    <row r="20" spans="2:6" customFormat="1">
      <c r="B20" t="s">
        <v>364</v>
      </c>
      <c r="C20" s="9">
        <v>1500</v>
      </c>
      <c r="E20" s="288"/>
    </row>
    <row r="21" spans="2:6" customFormat="1">
      <c r="B21" t="s">
        <v>358</v>
      </c>
      <c r="C21" s="9">
        <v>3700</v>
      </c>
      <c r="E21" s="288"/>
    </row>
    <row r="22" spans="2:6" customFormat="1">
      <c r="C22" s="9">
        <f>SUM(C12:C21)</f>
        <v>165550</v>
      </c>
      <c r="E22" s="288"/>
    </row>
    <row r="23" spans="2:6" customFormat="1">
      <c r="C23" s="9"/>
      <c r="E23" s="288"/>
    </row>
    <row r="24" spans="2:6" customFormat="1" ht="15" thickBot="1">
      <c r="B24" s="1" t="s">
        <v>365</v>
      </c>
      <c r="C24" s="291">
        <f>C8-C22</f>
        <v>-10854</v>
      </c>
      <c r="E24" s="288"/>
    </row>
    <row r="25" spans="2:6" customFormat="1" ht="15" thickTop="1">
      <c r="E25" s="288"/>
    </row>
    <row r="26" spans="2:6" customFormat="1">
      <c r="B26" t="s">
        <v>366</v>
      </c>
      <c r="C26" s="9">
        <v>1950</v>
      </c>
      <c r="E26" s="288"/>
    </row>
    <row r="27" spans="2:6" customFormat="1">
      <c r="B27" t="s">
        <v>367</v>
      </c>
      <c r="C27" s="9">
        <v>2150</v>
      </c>
      <c r="E27" s="288"/>
    </row>
    <row r="28" spans="2:6" customFormat="1">
      <c r="B28" t="s">
        <v>368</v>
      </c>
      <c r="C28" s="9">
        <f>D28*7.35</f>
        <v>1764</v>
      </c>
      <c r="D28" s="292">
        <v>240</v>
      </c>
      <c r="E28" s="288"/>
      <c r="F28" t="s">
        <v>369</v>
      </c>
    </row>
    <row r="29" spans="2:6">
      <c r="C29" s="9"/>
    </row>
    <row r="30" spans="2:6" customFormat="1">
      <c r="C30" s="9">
        <f>(C22-20000)/74</f>
        <v>1966.8918918918919</v>
      </c>
      <c r="E30" s="288"/>
    </row>
    <row r="31" spans="2:6" customFormat="1">
      <c r="C31" s="9">
        <f>(C22)/74</f>
        <v>2237.1621621621621</v>
      </c>
      <c r="E31" s="288"/>
    </row>
  </sheetData>
  <mergeCells count="12">
    <mergeCell ref="L6:L8"/>
    <mergeCell ref="M6:M8"/>
    <mergeCell ref="N6:N8"/>
    <mergeCell ref="F2:F10"/>
    <mergeCell ref="G2:G10"/>
    <mergeCell ref="H2:H10"/>
    <mergeCell ref="I2:I5"/>
    <mergeCell ref="J2:J5"/>
    <mergeCell ref="K2:K5"/>
    <mergeCell ref="I6:I10"/>
    <mergeCell ref="J6:J10"/>
    <mergeCell ref="K6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5">
    <tabColor theme="1" tint="4.9989318521683403E-2"/>
    <outlinePr summaryBelow="0"/>
  </sheetPr>
  <dimension ref="A1:O345"/>
  <sheetViews>
    <sheetView topLeftCell="C1" zoomScaleNormal="100" workbookViewId="0">
      <pane ySplit="1" topLeftCell="A217" activePane="bottomLeft" state="frozen"/>
      <selection pane="bottomLeft" activeCell="N317" sqref="N316:O317"/>
    </sheetView>
  </sheetViews>
  <sheetFormatPr defaultColWidth="9.33203125" defaultRowHeight="13.8" outlineLevelRow="2"/>
  <cols>
    <col min="1" max="1" width="7.33203125" style="33" hidden="1" customWidth="1"/>
    <col min="2" max="2" width="6.6640625" style="7" hidden="1" customWidth="1"/>
    <col min="3" max="3" width="6" style="127" customWidth="1"/>
    <col min="4" max="4" width="27.6640625" style="12" customWidth="1"/>
    <col min="5" max="5" width="9.6640625" style="12" hidden="1" customWidth="1"/>
    <col min="6" max="6" width="20.6640625" style="33" customWidth="1"/>
    <col min="7" max="9" width="7.6640625" style="33" customWidth="1"/>
    <col min="10" max="10" width="6.33203125" style="3" customWidth="1"/>
    <col min="11" max="11" width="6" style="3" customWidth="1"/>
    <col min="12" max="13" width="6.5546875" style="3" customWidth="1"/>
    <col min="14" max="14" width="7.33203125" style="3" customWidth="1"/>
    <col min="15" max="15" width="13.33203125" style="3" customWidth="1"/>
    <col min="16" max="16384" width="9.33203125" style="3"/>
  </cols>
  <sheetData>
    <row r="1" spans="1:10" s="2" customFormat="1" ht="50.25" customHeight="1">
      <c r="A1" s="51" t="s">
        <v>161</v>
      </c>
      <c r="B1" s="76" t="s">
        <v>198</v>
      </c>
      <c r="C1" s="126" t="s">
        <v>43</v>
      </c>
      <c r="D1" s="191" t="s">
        <v>44</v>
      </c>
      <c r="E1" s="10" t="s">
        <v>59</v>
      </c>
      <c r="F1" s="156" t="s">
        <v>58</v>
      </c>
      <c r="G1" s="211" t="s">
        <v>194</v>
      </c>
      <c r="H1" s="240" t="s">
        <v>100</v>
      </c>
      <c r="I1" s="262" t="s">
        <v>305</v>
      </c>
    </row>
    <row r="2" spans="1:10" ht="15.6">
      <c r="B2" s="41"/>
      <c r="D2" s="153" t="s">
        <v>190</v>
      </c>
      <c r="E2" s="40"/>
      <c r="F2" s="106" t="s">
        <v>134</v>
      </c>
      <c r="G2" s="212"/>
      <c r="H2" s="241"/>
      <c r="I2" s="241"/>
    </row>
    <row r="3" spans="1:10" ht="10.199999999999999" customHeight="1">
      <c r="B3" s="41"/>
      <c r="G3" s="213"/>
    </row>
    <row r="4" spans="1:10" collapsed="1">
      <c r="A4" s="33" t="s">
        <v>0</v>
      </c>
      <c r="B4" s="41"/>
      <c r="C4" s="52">
        <v>100000</v>
      </c>
      <c r="D4" s="13" t="s">
        <v>163</v>
      </c>
      <c r="E4" s="13"/>
      <c r="F4" s="157"/>
      <c r="G4" s="214">
        <f>SUM(G5:G42)</f>
        <v>1955992</v>
      </c>
      <c r="H4" s="242">
        <f t="shared" ref="H4:I4" si="0">H43</f>
        <v>2999959</v>
      </c>
      <c r="I4" s="243">
        <f t="shared" si="0"/>
        <v>3071926</v>
      </c>
    </row>
    <row r="5" spans="1:10" hidden="1" outlineLevel="1">
      <c r="B5" s="41"/>
      <c r="G5" s="213"/>
      <c r="H5" s="213"/>
      <c r="I5" s="213"/>
    </row>
    <row r="6" spans="1:10" hidden="1" outlineLevel="1">
      <c r="A6" s="33" t="s">
        <v>0</v>
      </c>
      <c r="B6" s="41"/>
      <c r="C6" s="127">
        <v>110000</v>
      </c>
      <c r="D6" s="16" t="s">
        <v>14</v>
      </c>
      <c r="G6" s="213"/>
      <c r="H6" s="213"/>
      <c r="I6" s="213"/>
    </row>
    <row r="7" spans="1:10" ht="14.4" hidden="1" outlineLevel="1">
      <c r="A7" s="33" t="s">
        <v>136</v>
      </c>
      <c r="B7" s="41">
        <v>1000</v>
      </c>
      <c r="C7" s="127">
        <v>110001</v>
      </c>
      <c r="D7" s="12" t="s">
        <v>201</v>
      </c>
      <c r="E7" s="12" t="s">
        <v>60</v>
      </c>
      <c r="G7" s="213">
        <v>1572580</v>
      </c>
      <c r="H7" s="244">
        <v>1616239</v>
      </c>
      <c r="I7" s="246">
        <v>1616240</v>
      </c>
      <c r="J7" s="1"/>
    </row>
    <row r="8" spans="1:10" ht="14.4" hidden="1" outlineLevel="1">
      <c r="A8" s="33" t="s">
        <v>136</v>
      </c>
      <c r="B8" s="41">
        <v>1010</v>
      </c>
      <c r="C8" s="127">
        <v>110003</v>
      </c>
      <c r="D8" s="12" t="s">
        <v>202</v>
      </c>
      <c r="G8" s="215"/>
      <c r="H8" s="244">
        <v>10000</v>
      </c>
      <c r="I8" s="246">
        <v>0</v>
      </c>
      <c r="J8"/>
    </row>
    <row r="9" spans="1:10" ht="14.4" hidden="1" outlineLevel="1">
      <c r="A9" s="33" t="s">
        <v>136</v>
      </c>
      <c r="B9" s="41">
        <v>1011</v>
      </c>
      <c r="C9" s="127">
        <v>110005</v>
      </c>
      <c r="D9" s="192" t="s">
        <v>203</v>
      </c>
      <c r="G9" s="213"/>
      <c r="H9" s="244">
        <v>3000</v>
      </c>
      <c r="I9" s="246">
        <v>5511</v>
      </c>
      <c r="J9" s="18"/>
    </row>
    <row r="10" spans="1:10" ht="14.4" hidden="1" outlineLevel="1">
      <c r="A10" s="33" t="s">
        <v>136</v>
      </c>
      <c r="B10" s="44">
        <v>1012</v>
      </c>
      <c r="C10" s="127">
        <v>110007</v>
      </c>
      <c r="D10" s="192" t="s">
        <v>306</v>
      </c>
      <c r="G10" s="213"/>
      <c r="H10" s="244">
        <v>8000</v>
      </c>
      <c r="I10" s="246">
        <v>20561</v>
      </c>
      <c r="J10" s="18"/>
    </row>
    <row r="11" spans="1:10" ht="14.4" hidden="1" outlineLevel="1">
      <c r="A11" s="33" t="s">
        <v>136</v>
      </c>
      <c r="B11" s="44">
        <v>1018</v>
      </c>
      <c r="C11" s="127">
        <v>110018</v>
      </c>
      <c r="D11" s="67" t="s">
        <v>175</v>
      </c>
      <c r="E11" s="14"/>
      <c r="F11" s="50"/>
      <c r="G11" s="215">
        <v>200625</v>
      </c>
      <c r="H11" s="171">
        <v>220625</v>
      </c>
      <c r="I11" s="255">
        <v>220625</v>
      </c>
      <c r="J11" s="18"/>
    </row>
    <row r="12" spans="1:10" ht="14.4" hidden="1" outlineLevel="1">
      <c r="A12" s="33" t="s">
        <v>136</v>
      </c>
      <c r="B12" s="44">
        <v>1019</v>
      </c>
      <c r="C12" s="127">
        <v>110019</v>
      </c>
      <c r="D12" s="192" t="s">
        <v>200</v>
      </c>
      <c r="G12" s="213"/>
      <c r="H12" s="244">
        <v>102000</v>
      </c>
      <c r="I12" s="246">
        <v>163785</v>
      </c>
      <c r="J12" s="18"/>
    </row>
    <row r="13" spans="1:10" ht="14.4" hidden="1" outlineLevel="1">
      <c r="B13" s="44">
        <v>1020</v>
      </c>
      <c r="C13" s="128">
        <v>110020</v>
      </c>
      <c r="D13" s="192" t="s">
        <v>183</v>
      </c>
      <c r="G13" s="213"/>
      <c r="H13" s="244"/>
      <c r="I13" s="246">
        <v>11403</v>
      </c>
      <c r="J13" s="18"/>
    </row>
    <row r="14" spans="1:10" ht="14.4" hidden="1" outlineLevel="1">
      <c r="A14" s="33" t="s">
        <v>136</v>
      </c>
      <c r="B14" s="41">
        <v>1710</v>
      </c>
      <c r="C14" s="128">
        <v>110021</v>
      </c>
      <c r="D14" s="192" t="s">
        <v>199</v>
      </c>
      <c r="G14" s="213"/>
      <c r="H14" s="244">
        <v>170000</v>
      </c>
      <c r="I14" s="246">
        <v>170000</v>
      </c>
      <c r="J14" s="18"/>
    </row>
    <row r="15" spans="1:10" ht="14.4" hidden="1" outlineLevel="1">
      <c r="A15" s="33" t="s">
        <v>136</v>
      </c>
      <c r="B15" s="41">
        <v>1715</v>
      </c>
      <c r="C15" s="128">
        <v>110098</v>
      </c>
      <c r="D15" s="192" t="s">
        <v>1</v>
      </c>
      <c r="G15" s="216">
        <v>32787</v>
      </c>
      <c r="H15" s="245">
        <v>0</v>
      </c>
      <c r="I15" s="247">
        <v>50000</v>
      </c>
      <c r="J15" s="21"/>
    </row>
    <row r="16" spans="1:10" ht="14.4" hidden="1" outlineLevel="1">
      <c r="A16" s="33" t="s">
        <v>2</v>
      </c>
      <c r="B16" s="41">
        <v>1049</v>
      </c>
      <c r="C16" s="128">
        <v>119999</v>
      </c>
      <c r="D16" s="16" t="s">
        <v>3</v>
      </c>
      <c r="G16" s="213"/>
      <c r="H16" s="242">
        <f t="shared" ref="H16:I16" si="1">SUM(H7:H15)</f>
        <v>2129864</v>
      </c>
      <c r="I16" s="243">
        <f t="shared" si="1"/>
        <v>2258125</v>
      </c>
      <c r="J16" s="18"/>
    </row>
    <row r="17" spans="1:10" ht="12.75" hidden="1" customHeight="1" outlineLevel="1">
      <c r="B17" s="41"/>
      <c r="D17" s="16"/>
      <c r="G17" s="213"/>
      <c r="H17" s="213"/>
      <c r="I17" s="213"/>
      <c r="J17" s="21"/>
    </row>
    <row r="18" spans="1:10" ht="14.4" hidden="1" outlineLevel="1">
      <c r="A18" s="33" t="s">
        <v>0</v>
      </c>
      <c r="B18" s="41"/>
      <c r="C18" s="127">
        <v>120000</v>
      </c>
      <c r="D18" s="16" t="s">
        <v>152</v>
      </c>
      <c r="G18" s="213"/>
      <c r="H18" s="213"/>
      <c r="I18" s="213"/>
      <c r="J18" s="18"/>
    </row>
    <row r="19" spans="1:10" hidden="1" outlineLevel="1">
      <c r="A19" s="33" t="s">
        <v>136</v>
      </c>
      <c r="B19" s="44">
        <v>1414</v>
      </c>
      <c r="C19" s="127">
        <v>120001</v>
      </c>
      <c r="D19" s="12" t="s">
        <v>121</v>
      </c>
      <c r="E19" s="12" t="s">
        <v>8</v>
      </c>
      <c r="F19" s="158"/>
      <c r="G19" s="213"/>
      <c r="H19" s="244">
        <v>35000</v>
      </c>
      <c r="I19" s="246">
        <v>31669</v>
      </c>
    </row>
    <row r="20" spans="1:10" hidden="1" outlineLevel="1">
      <c r="A20" s="33" t="s">
        <v>136</v>
      </c>
      <c r="B20" s="44">
        <v>1415</v>
      </c>
      <c r="C20" s="127">
        <v>120002</v>
      </c>
      <c r="D20" s="12" t="s">
        <v>119</v>
      </c>
      <c r="E20" s="12" t="s">
        <v>8</v>
      </c>
      <c r="F20" s="158"/>
      <c r="G20" s="213"/>
      <c r="H20" s="244">
        <v>20000</v>
      </c>
      <c r="I20" s="246">
        <v>46189</v>
      </c>
    </row>
    <row r="21" spans="1:10" hidden="1" outlineLevel="1">
      <c r="A21" s="33" t="s">
        <v>136</v>
      </c>
      <c r="B21" s="44">
        <v>1417</v>
      </c>
      <c r="C21" s="127">
        <v>120003</v>
      </c>
      <c r="D21" s="12" t="s">
        <v>120</v>
      </c>
      <c r="E21" s="12" t="s">
        <v>8</v>
      </c>
      <c r="F21" s="158"/>
      <c r="G21" s="213"/>
      <c r="H21" s="244">
        <v>65000</v>
      </c>
      <c r="I21" s="246">
        <v>128072</v>
      </c>
    </row>
    <row r="22" spans="1:10" hidden="1" outlineLevel="1">
      <c r="A22" s="33" t="s">
        <v>136</v>
      </c>
      <c r="B22" s="44">
        <v>1418</v>
      </c>
      <c r="C22" s="127">
        <v>120004</v>
      </c>
      <c r="D22" s="12" t="s">
        <v>122</v>
      </c>
      <c r="E22" s="12" t="s">
        <v>8</v>
      </c>
      <c r="F22" s="158"/>
      <c r="G22" s="216"/>
      <c r="H22" s="245">
        <v>100000</v>
      </c>
      <c r="I22" s="247">
        <v>94789</v>
      </c>
    </row>
    <row r="23" spans="1:10" hidden="1" outlineLevel="1">
      <c r="A23" s="33" t="s">
        <v>2</v>
      </c>
      <c r="B23" s="44">
        <v>1419</v>
      </c>
      <c r="C23" s="127">
        <v>129999</v>
      </c>
      <c r="D23" s="16" t="s">
        <v>204</v>
      </c>
      <c r="F23" s="158"/>
      <c r="G23" s="213"/>
      <c r="H23" s="242">
        <f t="shared" ref="H23:I23" si="2">SUM(H19:H22)</f>
        <v>220000</v>
      </c>
      <c r="I23" s="243">
        <f t="shared" si="2"/>
        <v>300719</v>
      </c>
    </row>
    <row r="24" spans="1:10" hidden="1" outlineLevel="1">
      <c r="B24" s="57"/>
      <c r="F24" s="158"/>
      <c r="G24" s="213"/>
      <c r="H24" s="213"/>
      <c r="I24" s="213"/>
    </row>
    <row r="25" spans="1:10" hidden="1" outlineLevel="1">
      <c r="A25" s="33" t="s">
        <v>0</v>
      </c>
      <c r="B25" s="57"/>
      <c r="C25" s="127">
        <v>130000</v>
      </c>
      <c r="D25" s="16" t="s">
        <v>192</v>
      </c>
      <c r="F25" s="158"/>
      <c r="G25" s="213"/>
      <c r="H25" s="213"/>
      <c r="I25" s="213"/>
    </row>
    <row r="26" spans="1:10" hidden="1" outlineLevel="1">
      <c r="A26" s="33" t="s">
        <v>136</v>
      </c>
      <c r="B26" s="41">
        <v>1800</v>
      </c>
      <c r="C26" s="127">
        <v>130001</v>
      </c>
      <c r="D26" s="67" t="s">
        <v>64</v>
      </c>
      <c r="E26" s="12" t="s">
        <v>61</v>
      </c>
      <c r="F26" s="85"/>
      <c r="G26" s="216"/>
      <c r="H26" s="245">
        <v>135000</v>
      </c>
      <c r="I26" s="247">
        <v>60274</v>
      </c>
    </row>
    <row r="27" spans="1:10" hidden="1" outlineLevel="1">
      <c r="A27" s="33" t="s">
        <v>2</v>
      </c>
      <c r="B27" s="41"/>
      <c r="C27" s="127">
        <v>139999</v>
      </c>
      <c r="D27" s="67" t="s">
        <v>299</v>
      </c>
      <c r="F27" s="50"/>
      <c r="G27" s="213"/>
      <c r="H27" s="242">
        <f t="shared" ref="H27:I27" si="3">H26</f>
        <v>135000</v>
      </c>
      <c r="I27" s="243">
        <f t="shared" si="3"/>
        <v>60274</v>
      </c>
    </row>
    <row r="28" spans="1:10" hidden="1" outlineLevel="1">
      <c r="B28" s="41"/>
      <c r="D28" s="67"/>
      <c r="F28" s="50"/>
      <c r="G28" s="213"/>
      <c r="H28" s="213"/>
      <c r="I28" s="213"/>
    </row>
    <row r="29" spans="1:10" hidden="1" outlineLevel="1">
      <c r="A29" s="33" t="s">
        <v>0</v>
      </c>
      <c r="B29" s="41"/>
      <c r="C29" s="127">
        <v>140000</v>
      </c>
      <c r="D29" s="66" t="s">
        <v>205</v>
      </c>
      <c r="E29" s="12" t="s">
        <v>8</v>
      </c>
      <c r="F29" s="50"/>
      <c r="G29" s="213"/>
      <c r="H29" s="213"/>
      <c r="I29" s="213"/>
    </row>
    <row r="30" spans="1:10" hidden="1" outlineLevel="1">
      <c r="A30" s="33" t="s">
        <v>136</v>
      </c>
      <c r="B30" s="41">
        <v>51198</v>
      </c>
      <c r="C30" s="127">
        <v>140001</v>
      </c>
      <c r="D30" s="67" t="s">
        <v>206</v>
      </c>
      <c r="E30" s="4"/>
      <c r="F30" s="52"/>
      <c r="G30" s="217">
        <v>0</v>
      </c>
      <c r="H30" s="245">
        <v>342595</v>
      </c>
      <c r="I30" s="247">
        <v>342595</v>
      </c>
    </row>
    <row r="31" spans="1:10" hidden="1" outlineLevel="1">
      <c r="A31" s="33" t="s">
        <v>2</v>
      </c>
      <c r="B31" s="41">
        <v>51589</v>
      </c>
      <c r="C31" s="127">
        <v>140598</v>
      </c>
      <c r="D31" s="66" t="s">
        <v>191</v>
      </c>
      <c r="F31" s="50"/>
      <c r="G31" s="213">
        <f>SUM(G30:G30)</f>
        <v>0</v>
      </c>
      <c r="H31" s="242">
        <v>342595</v>
      </c>
      <c r="I31" s="243">
        <v>342595</v>
      </c>
    </row>
    <row r="32" spans="1:10" hidden="1" outlineLevel="1">
      <c r="B32" s="41"/>
      <c r="G32" s="213"/>
      <c r="H32" s="213"/>
      <c r="I32" s="213"/>
    </row>
    <row r="33" spans="1:10" hidden="1" outlineLevel="1">
      <c r="A33" s="33" t="s">
        <v>0</v>
      </c>
      <c r="B33" s="41"/>
      <c r="C33" s="127">
        <v>150000</v>
      </c>
      <c r="D33" s="16" t="s">
        <v>153</v>
      </c>
      <c r="G33" s="218"/>
      <c r="H33" s="213"/>
      <c r="I33" s="213"/>
    </row>
    <row r="34" spans="1:10" hidden="1" outlineLevel="1">
      <c r="A34" s="33" t="s">
        <v>136</v>
      </c>
      <c r="B34" s="41">
        <v>1050</v>
      </c>
      <c r="C34" s="127">
        <v>150001</v>
      </c>
      <c r="D34" s="12" t="s">
        <v>18</v>
      </c>
      <c r="E34" s="12" t="s">
        <v>60</v>
      </c>
      <c r="G34" s="213">
        <v>150000</v>
      </c>
      <c r="H34" s="244">
        <v>50000</v>
      </c>
      <c r="I34" s="246">
        <v>7000</v>
      </c>
    </row>
    <row r="35" spans="1:10" hidden="1" outlineLevel="1">
      <c r="A35" s="33" t="s">
        <v>136</v>
      </c>
      <c r="B35" s="44">
        <v>1110</v>
      </c>
      <c r="C35" s="127">
        <v>150002</v>
      </c>
      <c r="D35" s="12" t="s">
        <v>87</v>
      </c>
      <c r="E35" s="12" t="s">
        <v>60</v>
      </c>
      <c r="G35" s="213">
        <v>0</v>
      </c>
      <c r="H35" s="244">
        <v>10000</v>
      </c>
      <c r="I35" s="246">
        <v>0</v>
      </c>
    </row>
    <row r="36" spans="1:10" hidden="1" outlineLevel="1">
      <c r="A36" s="33" t="s">
        <v>136</v>
      </c>
      <c r="B36" s="41">
        <v>1300</v>
      </c>
      <c r="C36" s="127">
        <v>150003</v>
      </c>
      <c r="D36" s="12" t="s">
        <v>80</v>
      </c>
      <c r="E36" s="12" t="s">
        <v>60</v>
      </c>
      <c r="G36" s="215"/>
      <c r="H36" s="244">
        <v>40000</v>
      </c>
      <c r="I36" s="246">
        <v>39000</v>
      </c>
    </row>
    <row r="37" spans="1:10" hidden="1" outlineLevel="1">
      <c r="A37" s="33" t="s">
        <v>136</v>
      </c>
      <c r="B37" s="44">
        <v>1201</v>
      </c>
      <c r="C37" s="127">
        <v>150004</v>
      </c>
      <c r="D37" s="12" t="s">
        <v>180</v>
      </c>
      <c r="E37" s="12" t="s">
        <v>60</v>
      </c>
      <c r="G37" s="213">
        <v>0</v>
      </c>
      <c r="H37" s="244">
        <v>3000</v>
      </c>
      <c r="I37" s="246">
        <v>11612</v>
      </c>
    </row>
    <row r="38" spans="1:10" hidden="1" outlineLevel="1">
      <c r="B38" s="44">
        <v>3012</v>
      </c>
      <c r="C38" s="127">
        <v>150005</v>
      </c>
      <c r="D38" s="12" t="s">
        <v>104</v>
      </c>
      <c r="G38" s="213"/>
      <c r="H38" s="244">
        <v>10000</v>
      </c>
      <c r="I38" s="246">
        <v>15550</v>
      </c>
    </row>
    <row r="39" spans="1:10" hidden="1" outlineLevel="1">
      <c r="A39" s="33" t="s">
        <v>136</v>
      </c>
      <c r="B39" s="70">
        <v>1900</v>
      </c>
      <c r="C39" s="127">
        <v>150006</v>
      </c>
      <c r="D39" s="12" t="s">
        <v>17</v>
      </c>
      <c r="E39" s="12" t="s">
        <v>60</v>
      </c>
      <c r="F39" s="87" t="s">
        <v>309</v>
      </c>
      <c r="G39" s="213"/>
      <c r="H39" s="244">
        <v>59500</v>
      </c>
      <c r="I39" s="246">
        <v>36844</v>
      </c>
    </row>
    <row r="40" spans="1:10" hidden="1" outlineLevel="1">
      <c r="A40" s="33" t="s">
        <v>136</v>
      </c>
      <c r="B40" s="70">
        <v>5081</v>
      </c>
      <c r="C40" s="127">
        <v>150007</v>
      </c>
      <c r="D40" s="12" t="s">
        <v>185</v>
      </c>
      <c r="F40" s="50"/>
      <c r="G40" s="216"/>
      <c r="H40" s="245">
        <v>0</v>
      </c>
      <c r="I40" s="247">
        <v>207</v>
      </c>
    </row>
    <row r="41" spans="1:10" hidden="1" outlineLevel="1">
      <c r="A41" s="33" t="s">
        <v>2</v>
      </c>
      <c r="B41" s="70">
        <v>1899</v>
      </c>
      <c r="C41" s="127">
        <v>150099</v>
      </c>
      <c r="D41" s="16" t="s">
        <v>123</v>
      </c>
      <c r="G41" s="213"/>
      <c r="H41" s="242">
        <f t="shared" ref="H41:I41" si="4">SUM(H34:H40)</f>
        <v>172500</v>
      </c>
      <c r="I41" s="243">
        <f t="shared" si="4"/>
        <v>110213</v>
      </c>
    </row>
    <row r="42" spans="1:10" hidden="1" outlineLevel="1">
      <c r="B42" s="41"/>
      <c r="G42" s="213"/>
      <c r="H42" s="213"/>
      <c r="I42" s="213"/>
    </row>
    <row r="43" spans="1:10" hidden="1" outlineLevel="1">
      <c r="A43" s="33" t="s">
        <v>2</v>
      </c>
      <c r="B43" s="41"/>
      <c r="C43" s="129">
        <v>199999</v>
      </c>
      <c r="D43" s="13" t="s">
        <v>4</v>
      </c>
      <c r="E43" s="15"/>
      <c r="F43" s="159"/>
      <c r="G43" s="159"/>
      <c r="H43" s="242">
        <f t="shared" ref="H43:I43" si="5">H16+H23+H26++H31+H41</f>
        <v>2999959</v>
      </c>
      <c r="I43" s="243">
        <f t="shared" si="5"/>
        <v>3071926</v>
      </c>
    </row>
    <row r="44" spans="1:10" hidden="1" outlineLevel="1">
      <c r="B44" s="41"/>
      <c r="C44" s="130"/>
      <c r="D44" s="11"/>
      <c r="E44" s="14"/>
      <c r="F44" s="50"/>
      <c r="G44" s="213"/>
      <c r="H44" s="213"/>
      <c r="I44" s="213"/>
    </row>
    <row r="45" spans="1:10" ht="14.4">
      <c r="A45" s="50" t="s">
        <v>0</v>
      </c>
      <c r="B45" s="41"/>
      <c r="C45" s="107"/>
      <c r="D45" s="193" t="s">
        <v>164</v>
      </c>
      <c r="E45" s="60"/>
      <c r="F45" s="160"/>
      <c r="G45" s="160"/>
      <c r="H45" s="160"/>
      <c r="I45" s="160"/>
      <c r="J45" s="18"/>
    </row>
    <row r="46" spans="1:10" ht="14.4" collapsed="1">
      <c r="A46" s="33" t="s">
        <v>0</v>
      </c>
      <c r="B46" s="41"/>
      <c r="C46" s="130">
        <v>200200</v>
      </c>
      <c r="D46" s="61" t="s">
        <v>5</v>
      </c>
      <c r="E46" s="61" t="s">
        <v>60</v>
      </c>
      <c r="F46" s="161"/>
      <c r="G46" s="219">
        <f>G70+G76+G77+G79</f>
        <v>26900</v>
      </c>
      <c r="H46" s="244">
        <f t="shared" ref="H46:I46" si="6">H81</f>
        <v>190010</v>
      </c>
      <c r="I46" s="246">
        <f t="shared" si="6"/>
        <v>232780</v>
      </c>
      <c r="J46" s="20"/>
    </row>
    <row r="47" spans="1:10" s="4" customFormat="1" ht="14.4" hidden="1" outlineLevel="1">
      <c r="A47" s="52"/>
      <c r="B47" s="41"/>
      <c r="C47" s="130"/>
      <c r="D47" s="14"/>
      <c r="E47" s="14"/>
      <c r="F47" s="50"/>
      <c r="G47" s="219"/>
      <c r="H47" s="242"/>
      <c r="I47" s="223"/>
      <c r="J47" s="20"/>
    </row>
    <row r="48" spans="1:10" s="4" customFormat="1" ht="14.4" hidden="1" outlineLevel="1">
      <c r="A48" s="33" t="s">
        <v>0</v>
      </c>
      <c r="B48" s="41"/>
      <c r="C48" s="130">
        <v>200100</v>
      </c>
      <c r="D48" s="11" t="s">
        <v>82</v>
      </c>
      <c r="E48" s="14"/>
      <c r="F48" s="50"/>
      <c r="G48" s="219"/>
      <c r="H48" s="244"/>
      <c r="I48" s="215"/>
      <c r="J48" s="20"/>
    </row>
    <row r="49" spans="1:10" s="4" customFormat="1" ht="14.4" hidden="1" outlineLevel="1">
      <c r="A49" s="33" t="s">
        <v>136</v>
      </c>
      <c r="B49" s="44">
        <v>2100</v>
      </c>
      <c r="C49" s="130">
        <v>200101</v>
      </c>
      <c r="D49" s="14" t="s">
        <v>184</v>
      </c>
      <c r="E49" s="14"/>
      <c r="F49" s="50" t="s">
        <v>316</v>
      </c>
      <c r="G49" s="219">
        <v>0</v>
      </c>
      <c r="H49" s="244">
        <v>98000</v>
      </c>
      <c r="I49" s="246">
        <v>88096</v>
      </c>
      <c r="J49" s="20"/>
    </row>
    <row r="50" spans="1:10" s="4" customFormat="1" ht="14.4" hidden="1" outlineLevel="1">
      <c r="A50" s="33" t="s">
        <v>136</v>
      </c>
      <c r="B50" s="44">
        <v>2101</v>
      </c>
      <c r="C50" s="130">
        <v>200102</v>
      </c>
      <c r="D50" s="14" t="s">
        <v>150</v>
      </c>
      <c r="E50" s="14"/>
      <c r="F50" s="50" t="s">
        <v>300</v>
      </c>
      <c r="G50" s="220">
        <v>0</v>
      </c>
      <c r="H50" s="245">
        <v>4000</v>
      </c>
      <c r="I50" s="247">
        <v>63866</v>
      </c>
      <c r="J50" s="20"/>
    </row>
    <row r="51" spans="1:10" s="4" customFormat="1" ht="14.4" hidden="1" outlineLevel="1">
      <c r="A51" s="33" t="s">
        <v>2</v>
      </c>
      <c r="B51" s="44">
        <v>2109</v>
      </c>
      <c r="C51" s="130">
        <v>200199</v>
      </c>
      <c r="D51" s="11" t="s">
        <v>151</v>
      </c>
      <c r="E51" s="14"/>
      <c r="F51" s="50"/>
      <c r="G51" s="214">
        <f t="shared" ref="G51:I51" si="7">SUM(G49:G50)</f>
        <v>0</v>
      </c>
      <c r="H51" s="242">
        <f t="shared" si="7"/>
        <v>102000</v>
      </c>
      <c r="I51" s="243">
        <f t="shared" si="7"/>
        <v>151962</v>
      </c>
      <c r="J51" s="20"/>
    </row>
    <row r="52" spans="1:10" s="4" customFormat="1" ht="14.4" hidden="1" outlineLevel="1">
      <c r="A52" s="33"/>
      <c r="B52" s="57"/>
      <c r="C52" s="130"/>
      <c r="D52" s="11"/>
      <c r="E52" s="14"/>
      <c r="F52" s="50"/>
      <c r="G52" s="215"/>
      <c r="H52" s="223"/>
      <c r="I52" s="223"/>
      <c r="J52" s="20"/>
    </row>
    <row r="53" spans="1:10" s="4" customFormat="1" ht="14.4" hidden="1" outlineLevel="1">
      <c r="A53" s="50" t="s">
        <v>0</v>
      </c>
      <c r="B53" s="41"/>
      <c r="C53" s="130">
        <v>200200</v>
      </c>
      <c r="D53" s="11" t="s">
        <v>160</v>
      </c>
      <c r="E53" s="14"/>
      <c r="F53" s="50"/>
      <c r="G53" s="215"/>
      <c r="H53" s="215"/>
      <c r="I53" s="215"/>
      <c r="J53" s="20"/>
    </row>
    <row r="54" spans="1:10" s="4" customFormat="1" ht="14.4" hidden="1" outlineLevel="1">
      <c r="A54" s="33" t="s">
        <v>136</v>
      </c>
      <c r="B54" s="41">
        <v>2001</v>
      </c>
      <c r="C54" s="107">
        <v>200201</v>
      </c>
      <c r="D54" s="14" t="s">
        <v>145</v>
      </c>
      <c r="E54" s="14"/>
      <c r="F54" s="50" t="s">
        <v>315</v>
      </c>
      <c r="G54" s="219">
        <v>100000</v>
      </c>
      <c r="H54" s="244">
        <v>30450</v>
      </c>
      <c r="I54" s="246">
        <v>38167</v>
      </c>
      <c r="J54" s="20"/>
    </row>
    <row r="55" spans="1:10" s="4" customFormat="1" ht="14.4" hidden="1" outlineLevel="1">
      <c r="A55" s="33" t="s">
        <v>136</v>
      </c>
      <c r="B55" s="41">
        <v>1711</v>
      </c>
      <c r="C55" s="107"/>
      <c r="D55" s="150" t="s">
        <v>106</v>
      </c>
      <c r="E55" s="150"/>
      <c r="F55" s="162" t="s">
        <v>107</v>
      </c>
      <c r="G55" s="221">
        <v>-100000</v>
      </c>
      <c r="H55" s="244">
        <v>0</v>
      </c>
      <c r="I55" s="246"/>
      <c r="J55" s="20"/>
    </row>
    <row r="56" spans="1:10" s="4" customFormat="1" ht="14.4" hidden="1" outlineLevel="1">
      <c r="A56" s="33" t="s">
        <v>136</v>
      </c>
      <c r="B56" s="41">
        <v>2003</v>
      </c>
      <c r="C56" s="107"/>
      <c r="D56" s="154" t="s">
        <v>81</v>
      </c>
      <c r="E56" s="150"/>
      <c r="F56" s="162"/>
      <c r="G56" s="221">
        <v>2600</v>
      </c>
      <c r="H56" s="244">
        <v>0</v>
      </c>
      <c r="I56" s="246"/>
      <c r="J56" s="20"/>
    </row>
    <row r="57" spans="1:10" s="4" customFormat="1" ht="14.4" hidden="1" outlineLevel="1">
      <c r="A57" s="33" t="s">
        <v>136</v>
      </c>
      <c r="B57" s="41">
        <v>2000</v>
      </c>
      <c r="C57" s="107">
        <v>200211</v>
      </c>
      <c r="D57" s="14" t="s">
        <v>124</v>
      </c>
      <c r="E57" s="14"/>
      <c r="F57" s="50"/>
      <c r="G57" s="219">
        <v>0</v>
      </c>
      <c r="H57" s="244">
        <v>2900</v>
      </c>
      <c r="I57" s="246">
        <v>2313</v>
      </c>
      <c r="J57" s="20"/>
    </row>
    <row r="58" spans="1:10" s="4" customFormat="1" ht="14.4" hidden="1" outlineLevel="1">
      <c r="A58" s="33" t="s">
        <v>136</v>
      </c>
      <c r="B58" s="41">
        <v>2010</v>
      </c>
      <c r="C58" s="107">
        <v>200212</v>
      </c>
      <c r="D58" s="14" t="s">
        <v>25</v>
      </c>
      <c r="E58" s="14"/>
      <c r="F58" s="85"/>
      <c r="G58" s="219">
        <v>4300</v>
      </c>
      <c r="H58" s="244">
        <v>4300</v>
      </c>
      <c r="I58" s="246">
        <v>3300</v>
      </c>
      <c r="J58" s="20"/>
    </row>
    <row r="59" spans="1:10" s="4" customFormat="1" ht="14.4" hidden="1" outlineLevel="1">
      <c r="A59" s="33" t="s">
        <v>136</v>
      </c>
      <c r="B59" s="41">
        <v>2011</v>
      </c>
      <c r="C59" s="107">
        <v>200213</v>
      </c>
      <c r="D59" s="14" t="s">
        <v>10</v>
      </c>
      <c r="E59" s="14"/>
      <c r="F59" s="50"/>
      <c r="G59" s="219">
        <v>1000</v>
      </c>
      <c r="H59" s="244">
        <v>3000</v>
      </c>
      <c r="I59" s="246">
        <v>5203</v>
      </c>
      <c r="J59" s="20"/>
    </row>
    <row r="60" spans="1:10" s="4" customFormat="1" ht="14.4" hidden="1" outlineLevel="1">
      <c r="A60" s="33" t="s">
        <v>136</v>
      </c>
      <c r="B60" s="41">
        <v>2013</v>
      </c>
      <c r="C60" s="107">
        <v>200214</v>
      </c>
      <c r="D60" s="14" t="s">
        <v>84</v>
      </c>
      <c r="E60" s="14"/>
      <c r="F60" s="50"/>
      <c r="G60" s="219">
        <v>0</v>
      </c>
      <c r="H60" s="244">
        <v>1500</v>
      </c>
      <c r="I60" s="246">
        <v>1261</v>
      </c>
      <c r="J60" s="20"/>
    </row>
    <row r="61" spans="1:10" s="4" customFormat="1" ht="14.4" hidden="1" outlineLevel="1">
      <c r="A61" s="33" t="s">
        <v>136</v>
      </c>
      <c r="B61" s="41">
        <v>2014</v>
      </c>
      <c r="C61" s="107">
        <v>200215</v>
      </c>
      <c r="D61" s="14" t="s">
        <v>26</v>
      </c>
      <c r="E61" s="14"/>
      <c r="F61" s="50"/>
      <c r="G61" s="219">
        <v>7500</v>
      </c>
      <c r="H61" s="244">
        <v>500</v>
      </c>
      <c r="I61" s="246">
        <v>3043</v>
      </c>
      <c r="J61" s="20"/>
    </row>
    <row r="62" spans="1:10" s="4" customFormat="1" ht="14.4" hidden="1" outlineLevel="1">
      <c r="A62" s="33" t="s">
        <v>136</v>
      </c>
      <c r="B62" s="41">
        <v>2020</v>
      </c>
      <c r="C62" s="107">
        <v>200220</v>
      </c>
      <c r="D62" s="14" t="s">
        <v>207</v>
      </c>
      <c r="E62" s="14"/>
      <c r="F62" s="107"/>
      <c r="G62" s="219">
        <v>7500</v>
      </c>
      <c r="H62" s="244">
        <v>6000</v>
      </c>
      <c r="I62" s="246">
        <v>4000</v>
      </c>
      <c r="J62" s="21"/>
    </row>
    <row r="63" spans="1:10" s="4" customFormat="1" ht="14.4" hidden="1" outlineLevel="1">
      <c r="A63" s="33" t="s">
        <v>136</v>
      </c>
      <c r="B63" s="41">
        <v>2021</v>
      </c>
      <c r="C63" s="107">
        <v>200221</v>
      </c>
      <c r="D63" s="14" t="s">
        <v>27</v>
      </c>
      <c r="E63" s="14"/>
      <c r="F63" s="50"/>
      <c r="G63" s="219">
        <v>2000</v>
      </c>
      <c r="H63" s="244">
        <v>5000</v>
      </c>
      <c r="I63" s="246">
        <v>740</v>
      </c>
      <c r="J63" s="18"/>
    </row>
    <row r="64" spans="1:10" s="4" customFormat="1" ht="14.4" hidden="1" outlineLevel="1">
      <c r="A64" s="33" t="s">
        <v>136</v>
      </c>
      <c r="B64" s="41">
        <v>2030</v>
      </c>
      <c r="C64" s="107">
        <v>200230</v>
      </c>
      <c r="D64" s="14" t="s">
        <v>11</v>
      </c>
      <c r="E64" s="14"/>
      <c r="F64" s="107"/>
      <c r="G64" s="219">
        <v>15000</v>
      </c>
      <c r="H64" s="171">
        <v>13000</v>
      </c>
      <c r="I64" s="255">
        <v>14982</v>
      </c>
      <c r="J64" s="20"/>
    </row>
    <row r="65" spans="1:10" s="4" customFormat="1" ht="14.4" hidden="1" outlineLevel="1">
      <c r="A65" s="33" t="s">
        <v>136</v>
      </c>
      <c r="B65" s="41">
        <v>2050</v>
      </c>
      <c r="C65" s="107">
        <v>200250</v>
      </c>
      <c r="D65" s="14" t="s">
        <v>28</v>
      </c>
      <c r="E65" s="14"/>
      <c r="F65" s="50"/>
      <c r="G65" s="219">
        <v>3500</v>
      </c>
      <c r="H65" s="244">
        <v>3500</v>
      </c>
      <c r="I65" s="246">
        <v>1865</v>
      </c>
      <c r="J65" s="20"/>
    </row>
    <row r="66" spans="1:10" s="4" customFormat="1" ht="14.4" hidden="1" outlineLevel="1">
      <c r="A66" s="33" t="s">
        <v>136</v>
      </c>
      <c r="B66" s="41">
        <v>2070</v>
      </c>
      <c r="C66" s="107">
        <v>200270</v>
      </c>
      <c r="D66" s="14" t="s">
        <v>83</v>
      </c>
      <c r="E66" s="14"/>
      <c r="F66" s="50"/>
      <c r="G66" s="219">
        <v>7500</v>
      </c>
      <c r="H66" s="244">
        <v>7500</v>
      </c>
      <c r="I66" s="246">
        <v>0</v>
      </c>
      <c r="J66" s="20"/>
    </row>
    <row r="67" spans="1:10" s="4" customFormat="1" ht="14.4" hidden="1" outlineLevel="1">
      <c r="A67" s="33" t="s">
        <v>136</v>
      </c>
      <c r="B67" s="41">
        <v>2071</v>
      </c>
      <c r="C67" s="107">
        <v>200271</v>
      </c>
      <c r="D67" s="14" t="s">
        <v>208</v>
      </c>
      <c r="E67" s="14"/>
      <c r="F67" s="107" t="s">
        <v>323</v>
      </c>
      <c r="G67" s="219">
        <v>5000</v>
      </c>
      <c r="H67" s="244">
        <v>5000</v>
      </c>
      <c r="I67" s="246">
        <v>5502</v>
      </c>
      <c r="J67" s="20"/>
    </row>
    <row r="68" spans="1:10" s="4" customFormat="1" ht="14.4" hidden="1" outlineLevel="1">
      <c r="A68" s="33" t="s">
        <v>136</v>
      </c>
      <c r="B68" s="41">
        <v>2080</v>
      </c>
      <c r="C68" s="131" t="s">
        <v>209</v>
      </c>
      <c r="D68" s="194" t="s">
        <v>29</v>
      </c>
      <c r="E68" s="77"/>
      <c r="F68" s="85"/>
      <c r="G68" s="219">
        <v>1000</v>
      </c>
      <c r="H68" s="244">
        <v>1000</v>
      </c>
      <c r="I68" s="246">
        <v>0</v>
      </c>
      <c r="J68" s="20"/>
    </row>
    <row r="69" spans="1:10" s="4" customFormat="1" ht="14.4" hidden="1" outlineLevel="1">
      <c r="A69" s="50" t="s">
        <v>136</v>
      </c>
      <c r="B69" s="41">
        <v>2090</v>
      </c>
      <c r="C69" s="107">
        <v>200290</v>
      </c>
      <c r="D69" s="14" t="s">
        <v>13</v>
      </c>
      <c r="E69" s="14"/>
      <c r="F69" s="50"/>
      <c r="G69" s="220">
        <v>1500</v>
      </c>
      <c r="H69" s="245">
        <v>1500</v>
      </c>
      <c r="I69" s="247">
        <v>650</v>
      </c>
      <c r="J69" s="20"/>
    </row>
    <row r="70" spans="1:10" s="4" customFormat="1" ht="14.4" hidden="1" outlineLevel="1">
      <c r="A70" s="50" t="s">
        <v>2</v>
      </c>
      <c r="B70" s="44">
        <v>2099</v>
      </c>
      <c r="C70" s="130">
        <v>200299</v>
      </c>
      <c r="D70" s="11" t="s">
        <v>144</v>
      </c>
      <c r="E70" s="14"/>
      <c r="F70" s="50"/>
      <c r="G70" s="214">
        <f t="shared" ref="G70:I70" si="8">SUM(G54:G69)</f>
        <v>58400</v>
      </c>
      <c r="H70" s="242">
        <f t="shared" si="8"/>
        <v>85150</v>
      </c>
      <c r="I70" s="243">
        <f t="shared" si="8"/>
        <v>81026</v>
      </c>
      <c r="J70" s="20"/>
    </row>
    <row r="71" spans="1:10" s="4" customFormat="1" ht="14.4" hidden="1" outlineLevel="1">
      <c r="A71" s="52"/>
      <c r="B71" s="41"/>
      <c r="C71" s="130"/>
      <c r="D71" s="14"/>
      <c r="E71" s="14"/>
      <c r="F71" s="50"/>
      <c r="G71" s="215"/>
      <c r="H71" s="244"/>
      <c r="I71" s="215"/>
      <c r="J71" s="20"/>
    </row>
    <row r="72" spans="1:10" s="4" customFormat="1" ht="14.4" hidden="1" outlineLevel="1">
      <c r="A72" s="33" t="s">
        <v>0</v>
      </c>
      <c r="B72" s="41"/>
      <c r="C72" s="130">
        <v>200300</v>
      </c>
      <c r="D72" s="11" t="s">
        <v>154</v>
      </c>
      <c r="E72" s="14"/>
      <c r="F72" s="50"/>
      <c r="G72" s="215"/>
      <c r="H72" s="244"/>
      <c r="I72" s="215"/>
      <c r="J72" s="20"/>
    </row>
    <row r="73" spans="1:10" s="4" customFormat="1" ht="14.4" hidden="1" outlineLevel="1">
      <c r="A73" s="33" t="s">
        <v>136</v>
      </c>
      <c r="B73" s="41">
        <v>2012</v>
      </c>
      <c r="C73" s="107">
        <v>200301</v>
      </c>
      <c r="D73" s="14" t="s">
        <v>210</v>
      </c>
      <c r="E73" s="14"/>
      <c r="F73" s="50"/>
      <c r="G73" s="215"/>
      <c r="H73" s="244">
        <v>10</v>
      </c>
      <c r="I73" s="246">
        <v>10</v>
      </c>
      <c r="J73" s="20"/>
    </row>
    <row r="74" spans="1:10" s="4" customFormat="1" ht="14.4" hidden="1" outlineLevel="1">
      <c r="A74" s="33" t="s">
        <v>136</v>
      </c>
      <c r="B74" s="44">
        <v>2022</v>
      </c>
      <c r="C74" s="107">
        <v>200301</v>
      </c>
      <c r="D74" s="14" t="s">
        <v>211</v>
      </c>
      <c r="E74" s="14"/>
      <c r="F74" s="50"/>
      <c r="G74" s="215"/>
      <c r="H74" s="244">
        <v>2850</v>
      </c>
      <c r="I74" s="246">
        <v>0</v>
      </c>
      <c r="J74" s="20"/>
    </row>
    <row r="75" spans="1:10" s="4" customFormat="1" ht="14.4" hidden="1" outlineLevel="1">
      <c r="A75" s="33" t="s">
        <v>136</v>
      </c>
      <c r="B75" s="44">
        <v>2023</v>
      </c>
      <c r="C75" s="107">
        <v>200303</v>
      </c>
      <c r="D75" s="14" t="s">
        <v>212</v>
      </c>
      <c r="E75" s="14"/>
      <c r="F75" s="38"/>
      <c r="G75" s="215"/>
      <c r="H75" s="245">
        <v>0</v>
      </c>
      <c r="I75" s="247">
        <v>0</v>
      </c>
      <c r="J75" s="20"/>
    </row>
    <row r="76" spans="1:10" s="4" customFormat="1" ht="14.4" hidden="1" outlineLevel="1">
      <c r="A76" s="33"/>
      <c r="B76" s="42"/>
      <c r="C76" s="107"/>
      <c r="D76" s="79" t="s">
        <v>19</v>
      </c>
      <c r="E76" s="80"/>
      <c r="F76" s="84" t="s">
        <v>171</v>
      </c>
      <c r="G76" s="222">
        <v>-40000</v>
      </c>
      <c r="H76" s="245"/>
      <c r="I76" s="247"/>
      <c r="J76" s="20"/>
    </row>
    <row r="77" spans="1:10" s="4" customFormat="1" ht="14.4" hidden="1" outlineLevel="1">
      <c r="A77" s="50" t="s">
        <v>2</v>
      </c>
      <c r="B77" s="44">
        <v>2029</v>
      </c>
      <c r="C77" s="130">
        <v>200399</v>
      </c>
      <c r="D77" s="11" t="s">
        <v>12</v>
      </c>
      <c r="E77" s="14"/>
      <c r="F77" s="50"/>
      <c r="G77" s="214">
        <v>3500</v>
      </c>
      <c r="H77" s="242">
        <f t="shared" ref="H77:I77" si="9">SUM(H73:H75)</f>
        <v>2860</v>
      </c>
      <c r="I77" s="243">
        <f t="shared" si="9"/>
        <v>10</v>
      </c>
      <c r="J77" s="20"/>
    </row>
    <row r="78" spans="1:10" s="4" customFormat="1" ht="14.4" hidden="1" outlineLevel="1">
      <c r="A78" s="50"/>
      <c r="B78" s="43"/>
      <c r="C78" s="130"/>
      <c r="D78" s="11"/>
      <c r="E78" s="14"/>
      <c r="F78" s="50"/>
      <c r="G78" s="223"/>
      <c r="H78" s="242"/>
      <c r="I78" s="223"/>
      <c r="J78" s="20"/>
    </row>
    <row r="79" spans="1:10" s="4" customFormat="1" ht="14.4" hidden="1" outlineLevel="1">
      <c r="A79" s="50"/>
      <c r="B79" s="71">
        <v>2015</v>
      </c>
      <c r="C79" s="130"/>
      <c r="D79" s="79" t="s">
        <v>172</v>
      </c>
      <c r="E79" s="80"/>
      <c r="F79" s="83" t="s">
        <v>174</v>
      </c>
      <c r="G79" s="224">
        <v>5000</v>
      </c>
      <c r="H79" s="242"/>
      <c r="I79" s="223"/>
      <c r="J79" s="20"/>
    </row>
    <row r="80" spans="1:10" s="4" customFormat="1" ht="14.4" hidden="1" outlineLevel="1">
      <c r="A80" s="50" t="s">
        <v>136</v>
      </c>
      <c r="B80" s="43"/>
      <c r="C80" s="130">
        <v>200500</v>
      </c>
      <c r="D80" s="14" t="s">
        <v>301</v>
      </c>
      <c r="E80" s="14"/>
      <c r="F80" s="50"/>
      <c r="G80" s="219">
        <v>0</v>
      </c>
      <c r="H80" s="244">
        <v>0</v>
      </c>
      <c r="I80" s="246">
        <v>-218</v>
      </c>
      <c r="J80" s="20"/>
    </row>
    <row r="81" spans="1:10" s="4" customFormat="1" ht="14.4" hidden="1" outlineLevel="1">
      <c r="A81" s="50" t="s">
        <v>2</v>
      </c>
      <c r="B81" s="41">
        <v>2999</v>
      </c>
      <c r="C81" s="130">
        <v>299999</v>
      </c>
      <c r="D81" s="11" t="s">
        <v>6</v>
      </c>
      <c r="E81" s="14"/>
      <c r="F81" s="50"/>
      <c r="G81" s="215"/>
      <c r="H81" s="242">
        <f t="shared" ref="H81:I81" si="10">H51+H70+H77+H80</f>
        <v>190010</v>
      </c>
      <c r="I81" s="243">
        <f t="shared" si="10"/>
        <v>232780</v>
      </c>
      <c r="J81" s="20"/>
    </row>
    <row r="82" spans="1:10" hidden="1" outlineLevel="1">
      <c r="B82" s="41"/>
      <c r="G82" s="213"/>
      <c r="H82" s="244"/>
      <c r="I82" s="213"/>
    </row>
    <row r="83" spans="1:10" collapsed="1">
      <c r="A83" s="33" t="s">
        <v>0</v>
      </c>
      <c r="B83" s="41"/>
      <c r="C83" s="130">
        <v>310000</v>
      </c>
      <c r="D83" s="62" t="s">
        <v>213</v>
      </c>
      <c r="E83" s="62" t="s">
        <v>60</v>
      </c>
      <c r="F83" s="163"/>
      <c r="G83" s="219">
        <f t="shared" ref="G83:I83" si="11">G113</f>
        <v>89000</v>
      </c>
      <c r="H83" s="244">
        <f t="shared" si="11"/>
        <v>160500</v>
      </c>
      <c r="I83" s="246">
        <f t="shared" si="11"/>
        <v>205403</v>
      </c>
    </row>
    <row r="84" spans="1:10" hidden="1" outlineLevel="1" collapsed="1">
      <c r="A84" s="33" t="s">
        <v>0</v>
      </c>
      <c r="B84" s="41"/>
      <c r="C84" s="127">
        <v>310100</v>
      </c>
      <c r="D84" s="16" t="s">
        <v>51</v>
      </c>
      <c r="E84" s="16"/>
      <c r="G84" s="214">
        <f t="shared" ref="G84:I84" si="12">G88</f>
        <v>13000</v>
      </c>
      <c r="H84" s="242">
        <f t="shared" si="12"/>
        <v>19500</v>
      </c>
      <c r="I84" s="243">
        <f t="shared" si="12"/>
        <v>17458</v>
      </c>
    </row>
    <row r="85" spans="1:10" ht="15" hidden="1" customHeight="1" outlineLevel="2">
      <c r="A85" s="33" t="s">
        <v>136</v>
      </c>
      <c r="B85" s="41">
        <v>6001</v>
      </c>
      <c r="C85" s="127">
        <v>310101</v>
      </c>
      <c r="D85" s="14" t="s">
        <v>214</v>
      </c>
      <c r="E85" s="14"/>
      <c r="G85" s="219">
        <v>2000</v>
      </c>
      <c r="H85" s="244">
        <v>2500</v>
      </c>
      <c r="I85" s="246">
        <v>0</v>
      </c>
      <c r="J85" s="18"/>
    </row>
    <row r="86" spans="1:10" ht="15" hidden="1" customHeight="1" outlineLevel="2">
      <c r="A86" s="33" t="s">
        <v>136</v>
      </c>
      <c r="B86" s="41">
        <v>60011</v>
      </c>
      <c r="C86" s="127">
        <v>310102</v>
      </c>
      <c r="D86" s="14" t="s">
        <v>215</v>
      </c>
      <c r="E86" s="14"/>
      <c r="G86" s="219">
        <v>6000</v>
      </c>
      <c r="H86" s="244">
        <v>10000</v>
      </c>
      <c r="I86" s="246">
        <v>9369</v>
      </c>
      <c r="J86" s="20"/>
    </row>
    <row r="87" spans="1:10" ht="14.4" hidden="1" outlineLevel="2">
      <c r="A87" s="33" t="s">
        <v>136</v>
      </c>
      <c r="B87" s="41">
        <v>60012</v>
      </c>
      <c r="C87" s="127">
        <v>310103</v>
      </c>
      <c r="D87" s="14" t="s">
        <v>216</v>
      </c>
      <c r="E87" s="14"/>
      <c r="G87" s="220">
        <v>5000</v>
      </c>
      <c r="H87" s="245">
        <v>7000</v>
      </c>
      <c r="I87" s="247">
        <v>8089</v>
      </c>
      <c r="J87" s="20"/>
    </row>
    <row r="88" spans="1:10" ht="14.4" hidden="1" outlineLevel="2">
      <c r="A88" s="33" t="s">
        <v>2</v>
      </c>
      <c r="B88" s="42" t="s">
        <v>158</v>
      </c>
      <c r="C88" s="127">
        <v>310199</v>
      </c>
      <c r="D88" s="11" t="s">
        <v>53</v>
      </c>
      <c r="E88" s="11"/>
      <c r="G88" s="214">
        <f t="shared" ref="G88:I88" si="13">SUM(G85:G87)</f>
        <v>13000</v>
      </c>
      <c r="H88" s="242">
        <f t="shared" si="13"/>
        <v>19500</v>
      </c>
      <c r="I88" s="243">
        <f t="shared" si="13"/>
        <v>17458</v>
      </c>
      <c r="J88" s="20"/>
    </row>
    <row r="89" spans="1:10" ht="14.4" hidden="1" outlineLevel="1">
      <c r="B89" s="41"/>
      <c r="D89" s="14"/>
      <c r="E89" s="14"/>
      <c r="G89" s="215"/>
      <c r="H89" s="215"/>
      <c r="I89" s="215"/>
      <c r="J89" s="20"/>
    </row>
    <row r="90" spans="1:10" ht="14.4" hidden="1" outlineLevel="1" collapsed="1">
      <c r="A90" s="33" t="s">
        <v>0</v>
      </c>
      <c r="B90" s="41"/>
      <c r="C90" s="127">
        <v>310200</v>
      </c>
      <c r="D90" s="11" t="s">
        <v>52</v>
      </c>
      <c r="E90" s="11"/>
      <c r="G90" s="214">
        <f t="shared" ref="G90:I90" si="14">G94</f>
        <v>32000</v>
      </c>
      <c r="H90" s="242">
        <f t="shared" si="14"/>
        <v>32000</v>
      </c>
      <c r="I90" s="243">
        <f t="shared" si="14"/>
        <v>30573</v>
      </c>
      <c r="J90" s="20"/>
    </row>
    <row r="91" spans="1:10" ht="14.4" hidden="1" outlineLevel="2">
      <c r="A91" s="33" t="s">
        <v>136</v>
      </c>
      <c r="B91" s="41">
        <v>6000</v>
      </c>
      <c r="C91" s="127">
        <v>310201</v>
      </c>
      <c r="D91" s="14" t="s">
        <v>217</v>
      </c>
      <c r="E91" s="14"/>
      <c r="G91" s="219">
        <v>14000</v>
      </c>
      <c r="H91" s="244">
        <v>14000</v>
      </c>
      <c r="I91" s="246">
        <v>2110</v>
      </c>
      <c r="J91" s="20"/>
    </row>
    <row r="92" spans="1:10" ht="14.4" hidden="1" outlineLevel="2">
      <c r="A92" s="33" t="s">
        <v>136</v>
      </c>
      <c r="B92" s="41">
        <v>60001</v>
      </c>
      <c r="C92" s="127">
        <v>310202</v>
      </c>
      <c r="D92" s="14" t="s">
        <v>218</v>
      </c>
      <c r="E92" s="14"/>
      <c r="G92" s="219">
        <v>12000</v>
      </c>
      <c r="H92" s="244">
        <v>12000</v>
      </c>
      <c r="I92" s="246">
        <v>24580</v>
      </c>
      <c r="J92" s="20"/>
    </row>
    <row r="93" spans="1:10" ht="14.4" hidden="1" outlineLevel="2">
      <c r="A93" s="33" t="s">
        <v>136</v>
      </c>
      <c r="B93" s="41">
        <v>60002</v>
      </c>
      <c r="C93" s="127">
        <v>310203</v>
      </c>
      <c r="D93" s="14" t="s">
        <v>219</v>
      </c>
      <c r="E93" s="14"/>
      <c r="G93" s="220">
        <v>6000</v>
      </c>
      <c r="H93" s="245">
        <v>6000</v>
      </c>
      <c r="I93" s="247">
        <v>3883</v>
      </c>
      <c r="J93" s="20"/>
    </row>
    <row r="94" spans="1:10" ht="14.4" hidden="1" outlineLevel="2">
      <c r="A94" s="33" t="s">
        <v>2</v>
      </c>
      <c r="B94" s="42" t="s">
        <v>158</v>
      </c>
      <c r="C94" s="127">
        <v>310299</v>
      </c>
      <c r="D94" s="11" t="s">
        <v>54</v>
      </c>
      <c r="E94" s="11"/>
      <c r="G94" s="214">
        <f t="shared" ref="G94:I94" si="15">SUM(G91:G93)</f>
        <v>32000</v>
      </c>
      <c r="H94" s="242">
        <f t="shared" si="15"/>
        <v>32000</v>
      </c>
      <c r="I94" s="243">
        <f t="shared" si="15"/>
        <v>30573</v>
      </c>
      <c r="J94" s="20"/>
    </row>
    <row r="95" spans="1:10" ht="14.4" hidden="1" outlineLevel="1">
      <c r="B95" s="41"/>
      <c r="G95" s="215"/>
      <c r="H95" s="215"/>
      <c r="I95" s="215"/>
      <c r="J95" s="20"/>
    </row>
    <row r="96" spans="1:10" ht="14.4" hidden="1" outlineLevel="1" collapsed="1">
      <c r="A96" s="33" t="s">
        <v>0</v>
      </c>
      <c r="B96" s="41" t="s">
        <v>85</v>
      </c>
      <c r="C96" s="127">
        <v>310300</v>
      </c>
      <c r="D96" s="16" t="s">
        <v>220</v>
      </c>
      <c r="E96" s="16"/>
      <c r="G96" s="214">
        <f t="shared" ref="G96:I96" si="16">G100</f>
        <v>29000</v>
      </c>
      <c r="H96" s="242">
        <f t="shared" si="16"/>
        <v>29000</v>
      </c>
      <c r="I96" s="243">
        <f t="shared" si="16"/>
        <v>9108</v>
      </c>
      <c r="J96" s="20"/>
    </row>
    <row r="97" spans="1:10" ht="14.4" hidden="1" outlineLevel="2">
      <c r="A97" s="33" t="s">
        <v>136</v>
      </c>
      <c r="B97" s="41">
        <v>6002</v>
      </c>
      <c r="C97" s="127">
        <v>310301</v>
      </c>
      <c r="D97" s="14" t="s">
        <v>221</v>
      </c>
      <c r="E97" s="14"/>
      <c r="G97" s="219">
        <v>4000</v>
      </c>
      <c r="H97" s="244">
        <v>4000</v>
      </c>
      <c r="I97" s="246">
        <v>0</v>
      </c>
      <c r="J97" s="20"/>
    </row>
    <row r="98" spans="1:10" ht="14.4" hidden="1" outlineLevel="2">
      <c r="A98" s="33" t="s">
        <v>136</v>
      </c>
      <c r="B98" s="41">
        <v>60021</v>
      </c>
      <c r="C98" s="127">
        <v>310302</v>
      </c>
      <c r="D98" s="14" t="s">
        <v>222</v>
      </c>
      <c r="E98" s="14"/>
      <c r="G98" s="219">
        <v>22000</v>
      </c>
      <c r="H98" s="244">
        <v>22000</v>
      </c>
      <c r="I98" s="246">
        <v>8994</v>
      </c>
      <c r="J98" s="20"/>
    </row>
    <row r="99" spans="1:10" ht="14.4" hidden="1" outlineLevel="2">
      <c r="A99" s="33" t="s">
        <v>136</v>
      </c>
      <c r="B99" s="41">
        <v>60022</v>
      </c>
      <c r="C99" s="127">
        <v>310303</v>
      </c>
      <c r="D99" s="14" t="s">
        <v>223</v>
      </c>
      <c r="E99" s="14"/>
      <c r="G99" s="220">
        <v>3000</v>
      </c>
      <c r="H99" s="245">
        <v>3000</v>
      </c>
      <c r="I99" s="247">
        <v>114</v>
      </c>
      <c r="J99" s="20"/>
    </row>
    <row r="100" spans="1:10" ht="14.4" hidden="1" outlineLevel="2">
      <c r="A100" s="33" t="s">
        <v>2</v>
      </c>
      <c r="B100" s="42" t="s">
        <v>158</v>
      </c>
      <c r="C100" s="132">
        <v>310399</v>
      </c>
      <c r="D100" s="11" t="s">
        <v>55</v>
      </c>
      <c r="E100" s="11"/>
      <c r="G100" s="214">
        <f t="shared" ref="G100:I100" si="17">SUM(G97:G99)</f>
        <v>29000</v>
      </c>
      <c r="H100" s="242">
        <f t="shared" si="17"/>
        <v>29000</v>
      </c>
      <c r="I100" s="243">
        <f t="shared" si="17"/>
        <v>9108</v>
      </c>
      <c r="J100" s="20"/>
    </row>
    <row r="101" spans="1:10" ht="14.4" hidden="1" outlineLevel="1">
      <c r="B101" s="41"/>
      <c r="G101" s="215"/>
      <c r="H101" s="215"/>
      <c r="I101" s="215"/>
      <c r="J101" s="20"/>
    </row>
    <row r="102" spans="1:10" ht="14.4" hidden="1" outlineLevel="1" collapsed="1">
      <c r="A102" s="33" t="s">
        <v>0</v>
      </c>
      <c r="B102" s="41"/>
      <c r="C102" s="132">
        <v>310400</v>
      </c>
      <c r="D102" s="11" t="s">
        <v>56</v>
      </c>
      <c r="E102" s="11"/>
      <c r="G102" s="214">
        <f t="shared" ref="G102:I102" si="18">G108</f>
        <v>25000</v>
      </c>
      <c r="H102" s="242">
        <f t="shared" si="18"/>
        <v>25000</v>
      </c>
      <c r="I102" s="243">
        <f t="shared" si="18"/>
        <v>40072</v>
      </c>
      <c r="J102" s="21"/>
    </row>
    <row r="103" spans="1:10" ht="15" hidden="1" customHeight="1" outlineLevel="2">
      <c r="A103" s="33" t="s">
        <v>136</v>
      </c>
      <c r="B103" s="41">
        <v>6502</v>
      </c>
      <c r="C103" s="127">
        <v>310401</v>
      </c>
      <c r="D103" s="14" t="s">
        <v>224</v>
      </c>
      <c r="E103" s="14"/>
      <c r="G103" s="219">
        <v>6000</v>
      </c>
      <c r="H103" s="244">
        <v>6000</v>
      </c>
      <c r="I103" s="246">
        <v>9894</v>
      </c>
      <c r="J103" s="18"/>
    </row>
    <row r="104" spans="1:10" ht="14.4" hidden="1" outlineLevel="2">
      <c r="A104" s="33" t="s">
        <v>136</v>
      </c>
      <c r="B104" s="41">
        <v>6500</v>
      </c>
      <c r="C104" s="127">
        <v>310402</v>
      </c>
      <c r="D104" s="14" t="s">
        <v>225</v>
      </c>
      <c r="E104" s="14"/>
      <c r="G104" s="219">
        <v>12000</v>
      </c>
      <c r="H104" s="244">
        <v>12000</v>
      </c>
      <c r="I104" s="246">
        <v>20042</v>
      </c>
      <c r="J104" s="18"/>
    </row>
    <row r="105" spans="1:10" ht="14.4" hidden="1" outlineLevel="2">
      <c r="A105" s="33" t="s">
        <v>136</v>
      </c>
      <c r="B105" s="41">
        <v>6501</v>
      </c>
      <c r="C105" s="127">
        <v>310403</v>
      </c>
      <c r="D105" s="14" t="s">
        <v>226</v>
      </c>
      <c r="E105" s="14"/>
      <c r="G105" s="219">
        <v>2000</v>
      </c>
      <c r="H105" s="244">
        <v>2000</v>
      </c>
      <c r="I105" s="246">
        <v>1743</v>
      </c>
      <c r="J105" s="18"/>
    </row>
    <row r="106" spans="1:10" ht="14.4" hidden="1" outlineLevel="2">
      <c r="A106" s="33" t="s">
        <v>136</v>
      </c>
      <c r="B106" s="42" t="s">
        <v>85</v>
      </c>
      <c r="C106" s="127">
        <v>310405</v>
      </c>
      <c r="D106" s="14" t="s">
        <v>227</v>
      </c>
      <c r="E106" s="14"/>
      <c r="G106" s="219">
        <v>0</v>
      </c>
      <c r="H106" s="244">
        <v>3000</v>
      </c>
      <c r="I106" s="246">
        <v>4145</v>
      </c>
      <c r="J106" s="18"/>
    </row>
    <row r="107" spans="1:10" ht="14.4" hidden="1" outlineLevel="2">
      <c r="A107" s="33" t="s">
        <v>136</v>
      </c>
      <c r="B107" s="42" t="s">
        <v>85</v>
      </c>
      <c r="C107" s="127">
        <v>310408</v>
      </c>
      <c r="D107" s="14" t="s">
        <v>228</v>
      </c>
      <c r="E107" s="14"/>
      <c r="G107" s="220">
        <v>5000</v>
      </c>
      <c r="H107" s="245">
        <v>2000</v>
      </c>
      <c r="I107" s="247">
        <v>4248</v>
      </c>
      <c r="J107" s="18"/>
    </row>
    <row r="108" spans="1:10" ht="14.4" hidden="1" outlineLevel="2">
      <c r="A108" s="33" t="s">
        <v>2</v>
      </c>
      <c r="B108" s="42" t="s">
        <v>158</v>
      </c>
      <c r="C108" s="132">
        <v>310499</v>
      </c>
      <c r="D108" s="11" t="s">
        <v>71</v>
      </c>
      <c r="E108" s="11"/>
      <c r="G108" s="214">
        <f t="shared" ref="G108:I108" si="19">SUM(G103:G107)</f>
        <v>25000</v>
      </c>
      <c r="H108" s="242">
        <f t="shared" si="19"/>
        <v>25000</v>
      </c>
      <c r="I108" s="243">
        <f t="shared" si="19"/>
        <v>40072</v>
      </c>
      <c r="J108" s="18"/>
    </row>
    <row r="109" spans="1:10" ht="14.4" hidden="1" outlineLevel="1">
      <c r="A109" s="55" t="s">
        <v>136</v>
      </c>
      <c r="B109" s="42"/>
      <c r="C109" s="127">
        <v>310501</v>
      </c>
      <c r="D109" s="14" t="s">
        <v>193</v>
      </c>
      <c r="E109" s="14"/>
      <c r="G109" s="219">
        <v>0</v>
      </c>
      <c r="H109" s="244">
        <v>55000</v>
      </c>
      <c r="I109" s="246">
        <v>103192</v>
      </c>
      <c r="J109" s="18"/>
    </row>
    <row r="110" spans="1:10" ht="14.4" hidden="1" outlineLevel="1">
      <c r="A110" s="55" t="s">
        <v>136</v>
      </c>
      <c r="B110" s="42"/>
      <c r="C110" s="127">
        <v>310505</v>
      </c>
      <c r="D110" s="14" t="s">
        <v>229</v>
      </c>
      <c r="E110" s="11"/>
      <c r="G110" s="223"/>
      <c r="H110" s="242"/>
      <c r="I110" s="246">
        <v>5000</v>
      </c>
      <c r="J110" s="18"/>
    </row>
    <row r="111" spans="1:10" ht="14.4" hidden="1" outlineLevel="1">
      <c r="B111" s="42"/>
      <c r="D111" s="11"/>
      <c r="E111" s="11"/>
      <c r="G111" s="223"/>
      <c r="H111" s="223"/>
      <c r="I111" s="223"/>
      <c r="J111" s="18"/>
    </row>
    <row r="112" spans="1:10" ht="14.4" hidden="1" outlineLevel="1">
      <c r="B112" s="42"/>
      <c r="D112" s="150" t="s">
        <v>173</v>
      </c>
      <c r="E112" s="150"/>
      <c r="F112" s="164" t="s">
        <v>125</v>
      </c>
      <c r="G112" s="219">
        <v>-10000</v>
      </c>
      <c r="H112" s="237"/>
      <c r="I112" s="237"/>
      <c r="J112" s="18"/>
    </row>
    <row r="113" spans="1:13" ht="14.4" hidden="1" outlineLevel="1">
      <c r="A113" s="33" t="s">
        <v>2</v>
      </c>
      <c r="B113" s="41"/>
      <c r="D113" s="11" t="s">
        <v>39</v>
      </c>
      <c r="E113" s="11"/>
      <c r="G113" s="214">
        <f>G88+G94+G100+G108+G112</f>
        <v>89000</v>
      </c>
      <c r="H113" s="242">
        <f t="shared" ref="H113:I113" si="20">H88+H94+H100+H108+H109+H110</f>
        <v>160500</v>
      </c>
      <c r="I113" s="243">
        <f t="shared" si="20"/>
        <v>205403</v>
      </c>
      <c r="J113" s="21"/>
    </row>
    <row r="114" spans="1:13" hidden="1" outlineLevel="1">
      <c r="B114" s="41"/>
      <c r="G114" s="215"/>
      <c r="H114" s="215"/>
      <c r="I114" s="215"/>
      <c r="J114" s="5"/>
      <c r="K114" s="5"/>
      <c r="L114" s="5"/>
      <c r="M114" s="5"/>
    </row>
    <row r="115" spans="1:13" ht="15" customHeight="1" collapsed="1">
      <c r="A115" s="33" t="s">
        <v>0</v>
      </c>
      <c r="B115" s="41"/>
      <c r="C115" s="130">
        <v>320000</v>
      </c>
      <c r="D115" s="63" t="s">
        <v>45</v>
      </c>
      <c r="E115" s="63" t="s">
        <v>61</v>
      </c>
      <c r="F115" s="165"/>
      <c r="G115" s="219">
        <f t="shared" ref="G115:I115" si="21">G135</f>
        <v>207375</v>
      </c>
      <c r="H115" s="244">
        <f t="shared" si="21"/>
        <v>91500</v>
      </c>
      <c r="I115" s="246">
        <f t="shared" si="21"/>
        <v>66296</v>
      </c>
      <c r="J115" s="102"/>
      <c r="K115" s="20"/>
      <c r="L115" s="19"/>
      <c r="M115" s="92"/>
    </row>
    <row r="116" spans="1:13" s="4" customFormat="1" ht="14.4" hidden="1" outlineLevel="1">
      <c r="A116" s="50" t="s">
        <v>0</v>
      </c>
      <c r="B116" s="41"/>
      <c r="C116" s="130">
        <v>320100</v>
      </c>
      <c r="D116" s="66" t="s">
        <v>50</v>
      </c>
      <c r="E116" s="67" t="s">
        <v>61</v>
      </c>
      <c r="F116" s="166"/>
      <c r="G116" s="219"/>
      <c r="H116" s="242"/>
      <c r="I116" s="223"/>
      <c r="J116" s="22"/>
      <c r="K116" s="20"/>
      <c r="L116" s="19"/>
      <c r="M116" s="93"/>
    </row>
    <row r="117" spans="1:13" s="4" customFormat="1" ht="14.4" hidden="1" outlineLevel="1">
      <c r="A117" s="50" t="s">
        <v>136</v>
      </c>
      <c r="B117" s="41">
        <v>4042</v>
      </c>
      <c r="C117" s="107">
        <v>320101</v>
      </c>
      <c r="D117" s="67" t="s">
        <v>230</v>
      </c>
      <c r="E117" s="67" t="s">
        <v>61</v>
      </c>
      <c r="F117" s="166"/>
      <c r="G117" s="219">
        <v>3000</v>
      </c>
      <c r="H117" s="244">
        <v>3000</v>
      </c>
      <c r="I117" s="246">
        <v>0</v>
      </c>
      <c r="J117" s="22"/>
      <c r="K117" s="20"/>
      <c r="L117" s="19"/>
      <c r="M117" s="22"/>
    </row>
    <row r="118" spans="1:13" s="4" customFormat="1" ht="14.4" hidden="1" outlineLevel="1">
      <c r="A118" s="50" t="s">
        <v>136</v>
      </c>
      <c r="B118" s="41">
        <v>4040</v>
      </c>
      <c r="C118" s="107">
        <v>320102</v>
      </c>
      <c r="D118" s="67" t="s">
        <v>231</v>
      </c>
      <c r="E118" s="67" t="s">
        <v>61</v>
      </c>
      <c r="F118" s="166"/>
      <c r="G118" s="219">
        <v>8000</v>
      </c>
      <c r="H118" s="244">
        <v>8000</v>
      </c>
      <c r="I118" s="246">
        <v>37</v>
      </c>
      <c r="J118" s="22"/>
      <c r="K118" s="20"/>
      <c r="L118" s="19"/>
      <c r="M118" s="93"/>
    </row>
    <row r="119" spans="1:13" s="4" customFormat="1" ht="14.4" hidden="1" outlineLevel="1">
      <c r="A119" s="50" t="s">
        <v>136</v>
      </c>
      <c r="B119" s="41">
        <v>4043</v>
      </c>
      <c r="C119" s="107">
        <v>320103</v>
      </c>
      <c r="D119" s="67" t="s">
        <v>232</v>
      </c>
      <c r="E119" s="67" t="s">
        <v>61</v>
      </c>
      <c r="F119" s="166"/>
      <c r="G119" s="220">
        <v>2000</v>
      </c>
      <c r="H119" s="245">
        <v>2000</v>
      </c>
      <c r="I119" s="247">
        <v>0</v>
      </c>
      <c r="J119" s="22"/>
      <c r="K119" s="20"/>
      <c r="L119" s="19"/>
      <c r="M119" s="22"/>
    </row>
    <row r="120" spans="1:13" s="4" customFormat="1" ht="14.4" hidden="1" outlineLevel="1">
      <c r="A120" s="50" t="s">
        <v>2</v>
      </c>
      <c r="B120" s="42" t="s">
        <v>181</v>
      </c>
      <c r="C120" s="130">
        <v>320199</v>
      </c>
      <c r="D120" s="66" t="s">
        <v>65</v>
      </c>
      <c r="E120" s="67" t="s">
        <v>61</v>
      </c>
      <c r="F120" s="166"/>
      <c r="G120" s="214">
        <f t="shared" ref="G120:I120" si="22">SUM(G117:G119)</f>
        <v>13000</v>
      </c>
      <c r="H120" s="242">
        <f t="shared" si="22"/>
        <v>13000</v>
      </c>
      <c r="I120" s="243">
        <f t="shared" si="22"/>
        <v>37</v>
      </c>
      <c r="J120" s="22"/>
      <c r="K120" s="20"/>
      <c r="L120" s="19"/>
      <c r="M120" s="22"/>
    </row>
    <row r="121" spans="1:13" s="4" customFormat="1" ht="14.4" hidden="1" outlineLevel="1">
      <c r="A121" s="50"/>
      <c r="B121" s="41"/>
      <c r="C121" s="130"/>
      <c r="D121" s="66"/>
      <c r="E121" s="67"/>
      <c r="F121" s="166"/>
      <c r="G121" s="223"/>
      <c r="H121" s="223"/>
      <c r="I121" s="223"/>
      <c r="J121" s="22"/>
      <c r="K121" s="20"/>
      <c r="L121" s="19"/>
      <c r="M121" s="22"/>
    </row>
    <row r="122" spans="1:13" s="4" customFormat="1" ht="14.4" hidden="1" outlineLevel="1">
      <c r="A122" s="50"/>
      <c r="B122" s="41"/>
      <c r="C122" s="130">
        <v>328800</v>
      </c>
      <c r="D122" s="66" t="s">
        <v>233</v>
      </c>
      <c r="E122" s="67"/>
      <c r="F122" s="166"/>
      <c r="G122" s="223"/>
      <c r="H122" s="223"/>
      <c r="I122" s="223"/>
      <c r="J122" s="22"/>
      <c r="K122" s="20"/>
      <c r="L122" s="19"/>
      <c r="M122" s="22"/>
    </row>
    <row r="123" spans="1:13" s="4" customFormat="1" ht="14.4" hidden="1" outlineLevel="1">
      <c r="A123" s="50" t="s">
        <v>136</v>
      </c>
      <c r="B123" s="41">
        <v>4000</v>
      </c>
      <c r="C123" s="130"/>
      <c r="D123" s="152" t="s">
        <v>23</v>
      </c>
      <c r="E123" s="152" t="s">
        <v>61</v>
      </c>
      <c r="F123" s="167" t="s">
        <v>126</v>
      </c>
      <c r="G123" s="219">
        <v>150000</v>
      </c>
      <c r="H123" s="244">
        <v>0</v>
      </c>
      <c r="I123" s="215"/>
      <c r="J123" s="22"/>
      <c r="K123" s="20"/>
      <c r="L123" s="19"/>
      <c r="M123" s="56"/>
    </row>
    <row r="124" spans="1:13" s="4" customFormat="1" ht="14.4" hidden="1" outlineLevel="1">
      <c r="A124" s="50" t="s">
        <v>136</v>
      </c>
      <c r="B124" s="41">
        <v>1800</v>
      </c>
      <c r="C124" s="130"/>
      <c r="D124" s="152" t="s">
        <v>166</v>
      </c>
      <c r="E124" s="152" t="s">
        <v>61</v>
      </c>
      <c r="F124" s="167" t="s">
        <v>125</v>
      </c>
      <c r="G124" s="219">
        <v>-135000</v>
      </c>
      <c r="H124" s="244">
        <v>0</v>
      </c>
      <c r="I124" s="215"/>
      <c r="J124" s="22"/>
      <c r="K124" s="20"/>
      <c r="L124" s="19"/>
      <c r="M124" s="22"/>
    </row>
    <row r="125" spans="1:13" s="4" customFormat="1" ht="14.4" hidden="1" outlineLevel="1">
      <c r="A125" s="50" t="s">
        <v>136</v>
      </c>
      <c r="B125" s="41">
        <v>4010</v>
      </c>
      <c r="C125" s="130"/>
      <c r="D125" s="152" t="s">
        <v>128</v>
      </c>
      <c r="E125" s="152" t="s">
        <v>61</v>
      </c>
      <c r="F125" s="167" t="s">
        <v>126</v>
      </c>
      <c r="G125" s="219">
        <v>27000</v>
      </c>
      <c r="H125" s="244">
        <v>0</v>
      </c>
      <c r="I125" s="215"/>
      <c r="J125" s="22"/>
      <c r="K125" s="20"/>
      <c r="L125" s="19"/>
      <c r="M125" s="22"/>
    </row>
    <row r="126" spans="1:13" s="4" customFormat="1" ht="14.4" hidden="1" outlineLevel="1">
      <c r="A126" s="50" t="s">
        <v>136</v>
      </c>
      <c r="B126" s="41">
        <v>4031</v>
      </c>
      <c r="C126" s="107">
        <v>328801</v>
      </c>
      <c r="D126" s="67" t="s">
        <v>26</v>
      </c>
      <c r="E126" s="67" t="s">
        <v>61</v>
      </c>
      <c r="F126" s="85"/>
      <c r="G126" s="219">
        <v>1000</v>
      </c>
      <c r="H126" s="244">
        <v>1000</v>
      </c>
      <c r="I126" s="246">
        <v>0</v>
      </c>
      <c r="J126" s="22"/>
      <c r="K126" s="20"/>
      <c r="L126" s="19"/>
      <c r="M126" s="22"/>
    </row>
    <row r="127" spans="1:13" s="4" customFormat="1" ht="14.4" hidden="1" outlineLevel="1">
      <c r="A127" s="50" t="s">
        <v>136</v>
      </c>
      <c r="B127" s="41">
        <v>4001</v>
      </c>
      <c r="C127" s="107">
        <v>328811</v>
      </c>
      <c r="D127" s="67" t="s">
        <v>68</v>
      </c>
      <c r="E127" s="67" t="s">
        <v>61</v>
      </c>
      <c r="F127" s="85"/>
      <c r="G127" s="219">
        <v>5000</v>
      </c>
      <c r="H127" s="244">
        <v>26000</v>
      </c>
      <c r="I127" s="246">
        <v>24252</v>
      </c>
      <c r="J127" s="22"/>
      <c r="K127" s="20"/>
      <c r="L127" s="19"/>
      <c r="M127" s="22"/>
    </row>
    <row r="128" spans="1:13" s="4" customFormat="1" ht="14.4" hidden="1" outlineLevel="1">
      <c r="A128" s="50" t="s">
        <v>136</v>
      </c>
      <c r="B128" s="41">
        <v>4030</v>
      </c>
      <c r="C128" s="107">
        <v>328831</v>
      </c>
      <c r="D128" s="67" t="s">
        <v>34</v>
      </c>
      <c r="E128" s="67" t="s">
        <v>61</v>
      </c>
      <c r="F128" s="85" t="s">
        <v>326</v>
      </c>
      <c r="G128" s="219">
        <v>51500</v>
      </c>
      <c r="H128" s="244">
        <v>45500</v>
      </c>
      <c r="I128" s="246">
        <v>37107</v>
      </c>
      <c r="J128" s="22"/>
      <c r="K128" s="20"/>
      <c r="L128" s="19"/>
      <c r="M128" s="22"/>
    </row>
    <row r="129" spans="1:15" s="4" customFormat="1" ht="14.4" hidden="1" outlineLevel="1">
      <c r="A129" s="50" t="s">
        <v>136</v>
      </c>
      <c r="B129" s="41">
        <v>5120</v>
      </c>
      <c r="C129" s="107">
        <v>328841</v>
      </c>
      <c r="D129" s="67" t="s">
        <v>38</v>
      </c>
      <c r="E129" s="67" t="s">
        <v>61</v>
      </c>
      <c r="F129" s="85"/>
      <c r="G129" s="219">
        <v>15000</v>
      </c>
      <c r="H129" s="244">
        <v>0</v>
      </c>
      <c r="I129" s="246">
        <v>0</v>
      </c>
      <c r="J129" s="22"/>
      <c r="K129" s="20"/>
      <c r="L129" s="19"/>
      <c r="M129" s="22"/>
    </row>
    <row r="130" spans="1:15" ht="14.4" hidden="1" outlineLevel="1">
      <c r="A130" s="50" t="s">
        <v>136</v>
      </c>
      <c r="B130" s="41">
        <v>4020</v>
      </c>
      <c r="C130" s="107">
        <v>328851</v>
      </c>
      <c r="D130" s="67" t="s">
        <v>24</v>
      </c>
      <c r="E130" s="67" t="s">
        <v>61</v>
      </c>
      <c r="F130" s="85"/>
      <c r="G130" s="219">
        <v>0</v>
      </c>
      <c r="H130" s="244">
        <v>0</v>
      </c>
      <c r="I130" s="246">
        <v>0</v>
      </c>
      <c r="J130" s="22"/>
      <c r="K130" s="20"/>
      <c r="L130" s="19"/>
      <c r="M130" s="94"/>
    </row>
    <row r="131" spans="1:15" ht="14.4" hidden="1" outlineLevel="1">
      <c r="A131" s="50" t="s">
        <v>136</v>
      </c>
      <c r="B131" s="42" t="s">
        <v>85</v>
      </c>
      <c r="C131" s="107">
        <v>328861</v>
      </c>
      <c r="D131" s="67" t="s">
        <v>182</v>
      </c>
      <c r="E131" s="67" t="s">
        <v>61</v>
      </c>
      <c r="F131" s="133"/>
      <c r="G131" s="220">
        <v>0</v>
      </c>
      <c r="H131" s="245">
        <v>6000</v>
      </c>
      <c r="I131" s="247">
        <v>4900</v>
      </c>
      <c r="J131" s="95"/>
      <c r="K131" s="96"/>
      <c r="L131" s="19"/>
      <c r="M131" s="94"/>
    </row>
    <row r="132" spans="1:15" ht="14.4" hidden="1" outlineLevel="1">
      <c r="A132" s="50" t="s">
        <v>136</v>
      </c>
      <c r="B132" s="41">
        <v>5135</v>
      </c>
      <c r="D132" s="68" t="s">
        <v>110</v>
      </c>
      <c r="E132" s="68" t="s">
        <v>61</v>
      </c>
      <c r="F132" s="168" t="s">
        <v>127</v>
      </c>
      <c r="G132" s="220">
        <v>79875</v>
      </c>
      <c r="H132" s="245">
        <v>0</v>
      </c>
      <c r="I132" s="217"/>
      <c r="J132" s="22"/>
      <c r="K132" s="22"/>
      <c r="L132" s="19"/>
      <c r="M132" s="22"/>
    </row>
    <row r="133" spans="1:15" ht="14.4" hidden="1" outlineLevel="1">
      <c r="A133" s="33" t="s">
        <v>2</v>
      </c>
      <c r="B133" s="42" t="s">
        <v>181</v>
      </c>
      <c r="C133" s="132">
        <v>328899</v>
      </c>
      <c r="D133" s="66" t="s">
        <v>234</v>
      </c>
      <c r="E133" s="67"/>
      <c r="F133" s="166"/>
      <c r="G133" s="214">
        <f t="shared" ref="G133:I133" si="23">SUM(G123:G132)</f>
        <v>194375</v>
      </c>
      <c r="H133" s="242">
        <f t="shared" si="23"/>
        <v>78500</v>
      </c>
      <c r="I133" s="243">
        <f t="shared" si="23"/>
        <v>66259</v>
      </c>
      <c r="J133" s="22"/>
      <c r="K133" s="22"/>
      <c r="L133" s="19"/>
      <c r="M133" s="22"/>
    </row>
    <row r="134" spans="1:15" ht="14.4" hidden="1" outlineLevel="1">
      <c r="B134" s="41"/>
      <c r="D134" s="67"/>
      <c r="E134" s="67"/>
      <c r="F134" s="166"/>
      <c r="G134" s="215"/>
      <c r="H134" s="215"/>
      <c r="I134" s="215"/>
      <c r="J134" s="22"/>
      <c r="K134" s="22"/>
      <c r="L134" s="19"/>
      <c r="M134" s="22"/>
    </row>
    <row r="135" spans="1:15" ht="14.4" hidden="1" outlineLevel="1">
      <c r="A135" s="33" t="s">
        <v>2</v>
      </c>
      <c r="B135" s="41">
        <v>4999</v>
      </c>
      <c r="C135" s="132">
        <v>399999</v>
      </c>
      <c r="D135" s="66" t="s">
        <v>57</v>
      </c>
      <c r="E135" s="67" t="s">
        <v>61</v>
      </c>
      <c r="F135" s="85"/>
      <c r="G135" s="214">
        <f t="shared" ref="G135:I135" si="24">G120+G133</f>
        <v>207375</v>
      </c>
      <c r="H135" s="242">
        <f t="shared" si="24"/>
        <v>91500</v>
      </c>
      <c r="I135" s="243">
        <f t="shared" si="24"/>
        <v>66296</v>
      </c>
      <c r="J135" s="95"/>
      <c r="K135" s="22"/>
      <c r="L135" s="97"/>
      <c r="M135" s="24"/>
    </row>
    <row r="136" spans="1:15" hidden="1" outlineLevel="1">
      <c r="B136" s="41"/>
      <c r="D136" s="67"/>
      <c r="E136" s="67"/>
      <c r="F136" s="85"/>
      <c r="G136" s="215"/>
      <c r="H136" s="215"/>
      <c r="I136" s="215"/>
      <c r="J136" s="5"/>
      <c r="K136" s="5"/>
      <c r="L136" s="5"/>
      <c r="M136" s="5"/>
    </row>
    <row r="137" spans="1:15" collapsed="1">
      <c r="A137" s="33" t="s">
        <v>0</v>
      </c>
      <c r="B137" s="41"/>
      <c r="C137" s="130">
        <v>330000</v>
      </c>
      <c r="D137" s="63" t="s">
        <v>46</v>
      </c>
      <c r="E137" s="63" t="s">
        <v>62</v>
      </c>
      <c r="F137" s="165"/>
      <c r="G137" s="219">
        <f t="shared" ref="G137:I137" si="25">G171</f>
        <v>446789</v>
      </c>
      <c r="H137" s="244">
        <f t="shared" si="25"/>
        <v>585000</v>
      </c>
      <c r="I137" s="246">
        <f t="shared" si="25"/>
        <v>496473</v>
      </c>
      <c r="J137" s="5"/>
      <c r="K137" s="5"/>
      <c r="L137" s="5"/>
      <c r="M137" s="5"/>
    </row>
    <row r="138" spans="1:15" ht="15" hidden="1" customHeight="1" outlineLevel="1">
      <c r="A138" s="33" t="s">
        <v>0</v>
      </c>
      <c r="B138" s="41"/>
      <c r="C138" s="132">
        <v>330100</v>
      </c>
      <c r="D138" s="66" t="s">
        <v>235</v>
      </c>
      <c r="E138" s="66"/>
      <c r="F138" s="85"/>
      <c r="G138" s="219"/>
      <c r="H138" s="244"/>
      <c r="I138" s="215"/>
      <c r="J138" s="98"/>
      <c r="K138" s="97"/>
      <c r="L138" s="97"/>
      <c r="M138" s="97"/>
      <c r="N138" s="23"/>
    </row>
    <row r="139" spans="1:15" ht="15.6" hidden="1" outlineLevel="1">
      <c r="A139" s="33" t="s">
        <v>136</v>
      </c>
      <c r="B139" s="41">
        <v>3033</v>
      </c>
      <c r="C139" s="127">
        <v>330101</v>
      </c>
      <c r="D139" s="67" t="s">
        <v>236</v>
      </c>
      <c r="E139" s="67"/>
      <c r="F139" s="85"/>
      <c r="G139" s="219">
        <v>4000</v>
      </c>
      <c r="H139" s="244">
        <v>4000</v>
      </c>
      <c r="I139" s="246">
        <v>0</v>
      </c>
      <c r="J139" s="35"/>
      <c r="K139" s="19"/>
      <c r="L139" s="19"/>
      <c r="M139" s="19"/>
      <c r="N139" s="26"/>
    </row>
    <row r="140" spans="1:15" ht="15.6" hidden="1" outlineLevel="1">
      <c r="A140" s="33" t="s">
        <v>136</v>
      </c>
      <c r="B140" s="41">
        <v>3031</v>
      </c>
      <c r="C140" s="127">
        <v>330102</v>
      </c>
      <c r="D140" s="67" t="s">
        <v>237</v>
      </c>
      <c r="E140" s="67"/>
      <c r="F140" s="85"/>
      <c r="G140" s="219">
        <v>3000</v>
      </c>
      <c r="H140" s="244">
        <v>3000</v>
      </c>
      <c r="I140" s="246">
        <v>0</v>
      </c>
      <c r="J140" s="35"/>
      <c r="K140" s="19"/>
      <c r="L140" s="19"/>
      <c r="M140" s="99"/>
      <c r="N140" s="27"/>
    </row>
    <row r="141" spans="1:15" ht="15" hidden="1" customHeight="1" outlineLevel="1">
      <c r="A141" s="33" t="s">
        <v>136</v>
      </c>
      <c r="B141" s="41">
        <v>3030</v>
      </c>
      <c r="C141" s="127">
        <v>330103</v>
      </c>
      <c r="D141" s="67" t="s">
        <v>238</v>
      </c>
      <c r="E141" s="67"/>
      <c r="F141" s="85"/>
      <c r="G141" s="220">
        <v>0</v>
      </c>
      <c r="H141" s="245">
        <v>0</v>
      </c>
      <c r="I141" s="247">
        <v>0</v>
      </c>
      <c r="J141" s="89"/>
      <c r="K141" s="20"/>
      <c r="L141" s="97"/>
      <c r="M141" s="97"/>
      <c r="N141" s="24"/>
      <c r="O141" s="25"/>
    </row>
    <row r="142" spans="1:15" ht="14.4" hidden="1" outlineLevel="1">
      <c r="A142" s="33" t="s">
        <v>2</v>
      </c>
      <c r="B142" s="42" t="s">
        <v>158</v>
      </c>
      <c r="C142" s="132">
        <v>330199</v>
      </c>
      <c r="D142" s="66" t="s">
        <v>239</v>
      </c>
      <c r="E142" s="67"/>
      <c r="F142" s="85"/>
      <c r="G142" s="214">
        <f t="shared" ref="G142:I142" si="26">SUM(G139:G141)</f>
        <v>7000</v>
      </c>
      <c r="H142" s="242">
        <f t="shared" si="26"/>
        <v>7000</v>
      </c>
      <c r="I142" s="243">
        <f t="shared" si="26"/>
        <v>0</v>
      </c>
      <c r="J142" s="22"/>
      <c r="K142" s="100"/>
      <c r="L142" s="19"/>
      <c r="M142" s="19"/>
      <c r="N142" s="22"/>
      <c r="O142" s="26"/>
    </row>
    <row r="143" spans="1:15" ht="14.4" hidden="1" outlineLevel="1">
      <c r="B143" s="41"/>
      <c r="D143" s="67"/>
      <c r="E143" s="67"/>
      <c r="F143" s="85"/>
      <c r="G143" s="215"/>
      <c r="H143" s="215"/>
      <c r="I143" s="215"/>
      <c r="J143" s="22"/>
      <c r="K143" s="20"/>
      <c r="L143" s="19"/>
      <c r="M143" s="101"/>
      <c r="N143" s="22"/>
      <c r="O143" s="28"/>
    </row>
    <row r="144" spans="1:15" ht="14.4" hidden="1" outlineLevel="1">
      <c r="A144" s="33" t="s">
        <v>0</v>
      </c>
      <c r="B144" s="41"/>
      <c r="C144" s="132">
        <v>330200</v>
      </c>
      <c r="D144" s="66" t="s">
        <v>78</v>
      </c>
      <c r="E144" s="67"/>
      <c r="F144" s="85"/>
      <c r="G144" s="215"/>
      <c r="H144" s="215"/>
      <c r="I144" s="215"/>
      <c r="J144" s="22"/>
      <c r="K144" s="20"/>
      <c r="L144" s="19"/>
      <c r="M144" s="19"/>
      <c r="N144" s="22"/>
      <c r="O144" s="18"/>
    </row>
    <row r="145" spans="1:15" ht="14.4" hidden="1" outlineLevel="1">
      <c r="A145" s="33" t="s">
        <v>136</v>
      </c>
      <c r="B145" s="41"/>
      <c r="C145" s="127">
        <v>330201</v>
      </c>
      <c r="D145" s="67" t="s">
        <v>240</v>
      </c>
      <c r="E145" s="67"/>
      <c r="F145" s="85"/>
      <c r="G145" s="219">
        <v>1500</v>
      </c>
      <c r="H145" s="244">
        <v>2000</v>
      </c>
      <c r="I145" s="246">
        <v>0</v>
      </c>
      <c r="J145" s="22"/>
      <c r="K145" s="20"/>
      <c r="L145" s="19"/>
      <c r="M145" s="19"/>
      <c r="N145" s="22"/>
      <c r="O145" s="18"/>
    </row>
    <row r="146" spans="1:15" ht="14.4" hidden="1" outlineLevel="1">
      <c r="A146" s="33" t="s">
        <v>136</v>
      </c>
      <c r="B146" s="41"/>
      <c r="C146" s="127">
        <v>330202</v>
      </c>
      <c r="D146" s="67" t="s">
        <v>241</v>
      </c>
      <c r="E146" s="67"/>
      <c r="F146" s="85"/>
      <c r="G146" s="219">
        <v>10000</v>
      </c>
      <c r="H146" s="244">
        <v>13000</v>
      </c>
      <c r="I146" s="246">
        <v>8042</v>
      </c>
      <c r="J146" s="22"/>
      <c r="K146" s="20"/>
      <c r="L146" s="19"/>
      <c r="M146" s="19"/>
      <c r="N146" s="22"/>
      <c r="O146" s="18"/>
    </row>
    <row r="147" spans="1:15" ht="14.4" hidden="1" outlineLevel="1">
      <c r="A147" s="33" t="s">
        <v>136</v>
      </c>
      <c r="B147" s="41"/>
      <c r="C147" s="127">
        <v>330203</v>
      </c>
      <c r="D147" s="67" t="s">
        <v>242</v>
      </c>
      <c r="E147" s="67"/>
      <c r="F147" s="85"/>
      <c r="G147" s="219">
        <v>0</v>
      </c>
      <c r="H147" s="244">
        <v>0</v>
      </c>
      <c r="I147" s="246">
        <v>542</v>
      </c>
      <c r="J147" s="22"/>
      <c r="K147" s="20"/>
      <c r="L147" s="19"/>
      <c r="M147" s="19"/>
      <c r="N147" s="22"/>
      <c r="O147" s="18"/>
    </row>
    <row r="148" spans="1:15" ht="14.4" hidden="1" outlineLevel="1">
      <c r="A148" s="33" t="s">
        <v>136</v>
      </c>
      <c r="B148" s="41">
        <v>3002</v>
      </c>
      <c r="C148" s="127">
        <v>330205</v>
      </c>
      <c r="D148" s="67" t="s">
        <v>243</v>
      </c>
      <c r="E148" s="67"/>
      <c r="F148" s="133"/>
      <c r="G148" s="225">
        <v>340489</v>
      </c>
      <c r="H148" s="248">
        <f>427000-79000</f>
        <v>348000</v>
      </c>
      <c r="I148" s="263">
        <v>347901</v>
      </c>
      <c r="J148" s="22"/>
      <c r="K148" s="20"/>
      <c r="L148" s="19"/>
      <c r="M148" s="19"/>
      <c r="N148" s="22"/>
      <c r="O148" s="18"/>
    </row>
    <row r="149" spans="1:15" ht="14.4" hidden="1" outlineLevel="1">
      <c r="A149" s="33" t="s">
        <v>136</v>
      </c>
      <c r="B149" s="41">
        <v>1710</v>
      </c>
      <c r="D149" s="81" t="s">
        <v>146</v>
      </c>
      <c r="E149" s="81"/>
      <c r="F149" s="169" t="s">
        <v>125</v>
      </c>
      <c r="G149" s="220">
        <v>-170000</v>
      </c>
      <c r="H149" s="245">
        <v>0</v>
      </c>
      <c r="I149" s="247"/>
      <c r="J149" s="22"/>
      <c r="K149" s="20"/>
      <c r="L149" s="19"/>
      <c r="M149" s="19"/>
      <c r="N149" s="22"/>
      <c r="O149" s="29"/>
    </row>
    <row r="150" spans="1:15" ht="14.4" hidden="1" outlineLevel="1">
      <c r="A150" s="33" t="s">
        <v>2</v>
      </c>
      <c r="B150" s="42" t="s">
        <v>158</v>
      </c>
      <c r="C150" s="132">
        <v>330299</v>
      </c>
      <c r="D150" s="66" t="s">
        <v>79</v>
      </c>
      <c r="E150" s="67"/>
      <c r="F150" s="85"/>
      <c r="G150" s="214">
        <f>SUM(G145:G149)</f>
        <v>181989</v>
      </c>
      <c r="H150" s="242">
        <f t="shared" ref="H150:I150" si="27">SUM(H145:H148)</f>
        <v>363000</v>
      </c>
      <c r="I150" s="243">
        <f t="shared" si="27"/>
        <v>356485</v>
      </c>
      <c r="J150" s="22"/>
      <c r="K150" s="20"/>
      <c r="L150" s="19"/>
      <c r="M150" s="19"/>
      <c r="N150" s="22"/>
      <c r="O150" s="30"/>
    </row>
    <row r="151" spans="1:15" ht="14.4" hidden="1" outlineLevel="1">
      <c r="B151" s="41"/>
      <c r="D151" s="67"/>
      <c r="E151" s="67"/>
      <c r="F151" s="85"/>
      <c r="G151" s="215"/>
      <c r="H151" s="215"/>
      <c r="I151" s="215"/>
      <c r="J151" s="22"/>
      <c r="K151" s="20"/>
      <c r="L151" s="19"/>
      <c r="M151" s="19"/>
      <c r="N151" s="22"/>
      <c r="O151" s="18"/>
    </row>
    <row r="152" spans="1:15" ht="14.4" hidden="1" outlineLevel="1">
      <c r="A152" s="33" t="s">
        <v>0</v>
      </c>
      <c r="B152" s="41">
        <v>3010</v>
      </c>
      <c r="C152" s="132">
        <v>330300</v>
      </c>
      <c r="D152" s="66" t="s">
        <v>16</v>
      </c>
      <c r="E152" s="67"/>
      <c r="F152" s="85"/>
      <c r="G152" s="215"/>
      <c r="H152" s="215"/>
      <c r="I152" s="215"/>
      <c r="J152" s="22"/>
      <c r="K152" s="20"/>
      <c r="L152" s="19"/>
      <c r="M152" s="19"/>
      <c r="N152" s="22"/>
      <c r="O152" s="31"/>
    </row>
    <row r="153" spans="1:15" ht="14.4" hidden="1" outlineLevel="1">
      <c r="A153" s="33" t="s">
        <v>136</v>
      </c>
      <c r="B153" s="42" t="s">
        <v>85</v>
      </c>
      <c r="C153" s="127">
        <v>330301</v>
      </c>
      <c r="D153" s="67" t="s">
        <v>244</v>
      </c>
      <c r="E153" s="67"/>
      <c r="F153" s="85"/>
      <c r="G153" s="219">
        <v>0</v>
      </c>
      <c r="H153" s="244">
        <v>0</v>
      </c>
      <c r="I153" s="246">
        <v>0</v>
      </c>
      <c r="J153" s="22"/>
      <c r="K153" s="20"/>
      <c r="L153" s="19"/>
      <c r="M153" s="19"/>
      <c r="N153" s="22"/>
      <c r="O153" s="31"/>
    </row>
    <row r="154" spans="1:15" ht="14.4" hidden="1" outlineLevel="1">
      <c r="A154" s="33" t="s">
        <v>136</v>
      </c>
      <c r="B154" s="42" t="s">
        <v>85</v>
      </c>
      <c r="C154" s="127">
        <v>330302</v>
      </c>
      <c r="D154" s="67" t="s">
        <v>245</v>
      </c>
      <c r="E154" s="67"/>
      <c r="F154" s="85"/>
      <c r="G154" s="219">
        <f t="shared" ref="G154" si="28">SUM(G153)</f>
        <v>0</v>
      </c>
      <c r="H154" s="244">
        <f t="shared" ref="H154:H156" si="29">SUM(H153)</f>
        <v>0</v>
      </c>
      <c r="I154" s="246">
        <v>4300</v>
      </c>
      <c r="J154" s="22"/>
      <c r="K154" s="20"/>
      <c r="L154" s="19"/>
      <c r="M154" s="19"/>
      <c r="N154" s="22"/>
      <c r="O154" s="28"/>
    </row>
    <row r="155" spans="1:15" ht="14.4" hidden="1" outlineLevel="1">
      <c r="A155" s="33" t="s">
        <v>136</v>
      </c>
      <c r="B155" s="42" t="s">
        <v>85</v>
      </c>
      <c r="C155" s="127">
        <v>330303</v>
      </c>
      <c r="D155" s="67" t="s">
        <v>246</v>
      </c>
      <c r="E155" s="67"/>
      <c r="F155" s="85"/>
      <c r="G155" s="219">
        <f t="shared" ref="G155:G156" si="30">SUM(G154)</f>
        <v>0</v>
      </c>
      <c r="H155" s="244">
        <v>0</v>
      </c>
      <c r="I155" s="246">
        <v>0</v>
      </c>
      <c r="J155" s="22"/>
      <c r="K155" s="22"/>
      <c r="L155" s="19"/>
      <c r="M155" s="19"/>
      <c r="N155" s="22"/>
      <c r="O155" s="18"/>
    </row>
    <row r="156" spans="1:15" ht="14.4" hidden="1" outlineLevel="1">
      <c r="A156" s="33" t="s">
        <v>136</v>
      </c>
      <c r="B156" s="42"/>
      <c r="C156" s="127">
        <v>330304</v>
      </c>
      <c r="D156" s="67" t="s">
        <v>247</v>
      </c>
      <c r="E156" s="67"/>
      <c r="F156" s="85"/>
      <c r="G156" s="220">
        <f t="shared" si="30"/>
        <v>0</v>
      </c>
      <c r="H156" s="245">
        <f t="shared" si="29"/>
        <v>0</v>
      </c>
      <c r="I156" s="247">
        <v>10863</v>
      </c>
      <c r="J156" s="22"/>
      <c r="K156" s="22"/>
      <c r="L156" s="19"/>
      <c r="M156" s="19"/>
      <c r="N156" s="22"/>
      <c r="O156" s="18"/>
    </row>
    <row r="157" spans="1:15" ht="14.4" hidden="1" outlineLevel="1">
      <c r="A157" s="33" t="s">
        <v>2</v>
      </c>
      <c r="B157" s="42" t="s">
        <v>158</v>
      </c>
      <c r="C157" s="132">
        <v>330399</v>
      </c>
      <c r="D157" s="66" t="s">
        <v>88</v>
      </c>
      <c r="E157" s="67"/>
      <c r="F157" s="85"/>
      <c r="G157" s="214">
        <v>37000</v>
      </c>
      <c r="H157" s="242">
        <v>38000</v>
      </c>
      <c r="I157" s="243">
        <f t="shared" ref="I157" si="31">SUM(I153:I156)</f>
        <v>15163</v>
      </c>
      <c r="J157" s="22"/>
      <c r="K157" s="19"/>
      <c r="L157" s="19"/>
      <c r="M157" s="19"/>
      <c r="N157" s="22"/>
      <c r="O157" s="28"/>
    </row>
    <row r="158" spans="1:15" ht="14.4" hidden="1" outlineLevel="1">
      <c r="B158" s="41"/>
      <c r="D158" s="66"/>
      <c r="E158" s="67"/>
      <c r="F158" s="85"/>
      <c r="G158" s="223"/>
      <c r="H158" s="223"/>
      <c r="I158" s="223"/>
      <c r="J158" s="22"/>
      <c r="K158" s="19"/>
      <c r="L158" s="19"/>
      <c r="M158" s="19"/>
      <c r="N158" s="22"/>
      <c r="O158" s="28"/>
    </row>
    <row r="159" spans="1:15" ht="14.4" hidden="1" outlineLevel="1">
      <c r="A159" s="33" t="s">
        <v>0</v>
      </c>
      <c r="B159" s="41"/>
      <c r="C159" s="127">
        <v>338800</v>
      </c>
      <c r="D159" s="66" t="s">
        <v>248</v>
      </c>
      <c r="E159" s="67"/>
      <c r="F159" s="85"/>
      <c r="G159" s="215"/>
      <c r="H159" s="215"/>
      <c r="I159" s="215"/>
      <c r="J159" s="22"/>
      <c r="K159" s="19"/>
      <c r="L159" s="19"/>
      <c r="M159" s="19"/>
      <c r="N159" s="22"/>
      <c r="O159"/>
    </row>
    <row r="160" spans="1:15" ht="14.4" hidden="1" outlineLevel="1">
      <c r="A160" s="33" t="s">
        <v>136</v>
      </c>
      <c r="B160" s="41"/>
      <c r="C160" s="127">
        <v>338801</v>
      </c>
      <c r="D160" s="67" t="s">
        <v>249</v>
      </c>
      <c r="E160" s="67"/>
      <c r="F160" s="85"/>
      <c r="G160" s="219">
        <v>0</v>
      </c>
      <c r="H160" s="244">
        <v>0</v>
      </c>
      <c r="I160" s="246">
        <v>1125</v>
      </c>
      <c r="J160" s="22"/>
      <c r="K160" s="19"/>
      <c r="L160" s="19"/>
      <c r="M160" s="19"/>
      <c r="N160" s="22"/>
      <c r="O160"/>
    </row>
    <row r="161" spans="1:15" ht="14.4" hidden="1" outlineLevel="1">
      <c r="A161" s="33" t="s">
        <v>136</v>
      </c>
      <c r="B161" s="41">
        <v>3011</v>
      </c>
      <c r="C161" s="127">
        <v>338811</v>
      </c>
      <c r="D161" s="67" t="s">
        <v>30</v>
      </c>
      <c r="E161" s="56"/>
      <c r="F161" s="170"/>
      <c r="G161" s="219">
        <v>43000</v>
      </c>
      <c r="H161" s="249">
        <v>97500</v>
      </c>
      <c r="I161" s="264">
        <v>68920</v>
      </c>
      <c r="J161" s="22"/>
      <c r="K161" s="19"/>
      <c r="L161" s="19"/>
      <c r="M161" s="19"/>
      <c r="N161" s="22"/>
      <c r="O161"/>
    </row>
    <row r="162" spans="1:15" ht="14.4" hidden="1" outlineLevel="1">
      <c r="A162" s="33" t="s">
        <v>136</v>
      </c>
      <c r="B162" s="41">
        <v>3012</v>
      </c>
      <c r="D162" s="81" t="s">
        <v>104</v>
      </c>
      <c r="E162" s="82"/>
      <c r="F162" s="171" t="s">
        <v>148</v>
      </c>
      <c r="G162" s="219">
        <v>-6000</v>
      </c>
      <c r="H162" s="171">
        <v>0</v>
      </c>
      <c r="I162" s="170"/>
      <c r="J162" s="22"/>
      <c r="K162" s="19"/>
      <c r="L162" s="19"/>
      <c r="M162" s="19"/>
      <c r="N162" s="22"/>
      <c r="O162"/>
    </row>
    <row r="163" spans="1:15" ht="14.4" hidden="1" outlineLevel="1">
      <c r="A163" s="33" t="s">
        <v>136</v>
      </c>
      <c r="B163" s="41">
        <v>3000</v>
      </c>
      <c r="C163" s="127">
        <v>338821</v>
      </c>
      <c r="D163" s="67" t="s">
        <v>48</v>
      </c>
      <c r="E163" s="67"/>
      <c r="F163" s="85"/>
      <c r="G163" s="219">
        <v>20000</v>
      </c>
      <c r="H163" s="244">
        <v>20000</v>
      </c>
      <c r="I163" s="246">
        <v>21917</v>
      </c>
      <c r="J163" s="22"/>
      <c r="K163" s="19"/>
      <c r="L163" s="19"/>
      <c r="M163" s="19"/>
      <c r="N163" s="22"/>
      <c r="O163"/>
    </row>
    <row r="164" spans="1:15" ht="14.4" hidden="1" outlineLevel="1">
      <c r="A164" s="33" t="s">
        <v>136</v>
      </c>
      <c r="B164" s="41">
        <v>3001</v>
      </c>
      <c r="C164" s="127">
        <v>338822</v>
      </c>
      <c r="D164" s="67" t="s">
        <v>250</v>
      </c>
      <c r="E164" s="67"/>
      <c r="F164" s="85"/>
      <c r="G164" s="219">
        <v>27000</v>
      </c>
      <c r="H164" s="244">
        <v>26000</v>
      </c>
      <c r="I164" s="246">
        <v>16750</v>
      </c>
      <c r="J164" s="22"/>
      <c r="K164" s="19"/>
      <c r="L164" s="19"/>
      <c r="M164" s="19"/>
      <c r="N164" s="22"/>
      <c r="O164"/>
    </row>
    <row r="165" spans="1:15" ht="14.4" hidden="1" outlineLevel="1">
      <c r="A165" s="33" t="s">
        <v>136</v>
      </c>
      <c r="B165" s="41">
        <v>3005</v>
      </c>
      <c r="C165" s="127">
        <v>338825</v>
      </c>
      <c r="D165" s="67" t="s">
        <v>49</v>
      </c>
      <c r="E165" s="67"/>
      <c r="F165" s="85"/>
      <c r="G165" s="219">
        <v>6000</v>
      </c>
      <c r="H165" s="244">
        <v>10000</v>
      </c>
      <c r="I165" s="246">
        <v>6500</v>
      </c>
      <c r="J165" s="22"/>
      <c r="K165" s="19"/>
      <c r="L165" s="19"/>
      <c r="M165" s="19"/>
      <c r="N165" s="22"/>
      <c r="O165" s="28"/>
    </row>
    <row r="166" spans="1:15" ht="14.4" hidden="1" outlineLevel="1">
      <c r="A166" s="33" t="s">
        <v>136</v>
      </c>
      <c r="B166" s="46">
        <v>3027</v>
      </c>
      <c r="C166" s="127">
        <v>338827</v>
      </c>
      <c r="D166" s="67" t="s">
        <v>105</v>
      </c>
      <c r="E166" s="67"/>
      <c r="F166" s="85"/>
      <c r="G166" s="219">
        <v>0</v>
      </c>
      <c r="H166" s="244">
        <v>11000</v>
      </c>
      <c r="I166" s="246">
        <v>1939</v>
      </c>
      <c r="J166" s="22"/>
      <c r="K166" s="19"/>
      <c r="L166" s="19"/>
      <c r="M166" s="19"/>
      <c r="N166" s="22"/>
      <c r="O166"/>
    </row>
    <row r="167" spans="1:15" ht="14.4" hidden="1" outlineLevel="1">
      <c r="A167" s="33" t="s">
        <v>136</v>
      </c>
      <c r="B167" s="41">
        <v>30020</v>
      </c>
      <c r="D167" s="81" t="s">
        <v>109</v>
      </c>
      <c r="E167" s="81"/>
      <c r="F167" s="169" t="s">
        <v>147</v>
      </c>
      <c r="G167" s="219">
        <v>143000</v>
      </c>
      <c r="H167" s="244">
        <v>0</v>
      </c>
      <c r="I167" s="215"/>
      <c r="J167" s="22"/>
      <c r="K167" s="19"/>
      <c r="L167" s="19"/>
      <c r="M167" s="19"/>
      <c r="N167" s="22"/>
      <c r="O167"/>
    </row>
    <row r="168" spans="1:15" ht="14.4" hidden="1" outlineLevel="1">
      <c r="A168" s="33" t="s">
        <v>136</v>
      </c>
      <c r="B168" s="46">
        <v>3070</v>
      </c>
      <c r="C168" s="127">
        <v>338870</v>
      </c>
      <c r="D168" s="67" t="s">
        <v>33</v>
      </c>
      <c r="E168" s="56"/>
      <c r="F168" s="172"/>
      <c r="G168" s="220">
        <v>-12200</v>
      </c>
      <c r="H168" s="245">
        <v>12500</v>
      </c>
      <c r="I168" s="247">
        <v>7674</v>
      </c>
      <c r="J168" s="22"/>
      <c r="K168" s="19"/>
      <c r="L168" s="19"/>
      <c r="M168" s="19"/>
      <c r="N168" s="22"/>
      <c r="O168"/>
    </row>
    <row r="169" spans="1:15" ht="14.4" hidden="1" outlineLevel="1">
      <c r="A169" s="33" t="s">
        <v>2</v>
      </c>
      <c r="B169" s="41"/>
      <c r="C169" s="132">
        <v>338899</v>
      </c>
      <c r="D169" s="66" t="s">
        <v>251</v>
      </c>
      <c r="E169" s="67"/>
      <c r="F169" s="85"/>
      <c r="G169" s="214">
        <f t="shared" ref="G169:I169" si="32">SUM(G160:G168)</f>
        <v>220800</v>
      </c>
      <c r="H169" s="242">
        <f t="shared" si="32"/>
        <v>177000</v>
      </c>
      <c r="I169" s="243">
        <f t="shared" si="32"/>
        <v>124825</v>
      </c>
      <c r="J169" s="5"/>
      <c r="K169" s="19"/>
      <c r="L169" s="19"/>
      <c r="M169" s="97"/>
      <c r="N169" s="22"/>
      <c r="O169" s="32"/>
    </row>
    <row r="170" spans="1:15" ht="14.4" hidden="1" outlineLevel="1">
      <c r="B170" s="41"/>
      <c r="D170" s="67"/>
      <c r="E170" s="67"/>
      <c r="F170" s="85"/>
      <c r="G170" s="215"/>
      <c r="H170" s="244"/>
      <c r="I170" s="215"/>
      <c r="J170" s="95"/>
      <c r="K170" s="19"/>
      <c r="L170" s="19"/>
      <c r="M170" s="19"/>
      <c r="N170" s="22"/>
      <c r="O170" s="18"/>
    </row>
    <row r="171" spans="1:15" ht="14.4" hidden="1" outlineLevel="1">
      <c r="A171" s="33" t="s">
        <v>2</v>
      </c>
      <c r="B171" s="41"/>
      <c r="C171" s="132">
        <v>399999</v>
      </c>
      <c r="D171" s="66" t="s">
        <v>66</v>
      </c>
      <c r="E171" s="67"/>
      <c r="F171" s="85"/>
      <c r="G171" s="214">
        <f t="shared" ref="G171:I171" si="33">G142+G150+G157+G169</f>
        <v>446789</v>
      </c>
      <c r="H171" s="242">
        <f t="shared" si="33"/>
        <v>585000</v>
      </c>
      <c r="I171" s="243">
        <f t="shared" si="33"/>
        <v>496473</v>
      </c>
      <c r="J171" s="22"/>
      <c r="K171" s="19"/>
      <c r="L171" s="22"/>
      <c r="M171" s="22"/>
      <c r="N171"/>
      <c r="O171"/>
    </row>
    <row r="172" spans="1:15" ht="14.4" hidden="1" outlineLevel="1">
      <c r="B172" s="41"/>
      <c r="D172" s="67"/>
      <c r="E172" s="67"/>
      <c r="F172" s="85"/>
      <c r="G172" s="215"/>
      <c r="H172" s="244"/>
      <c r="I172" s="215"/>
      <c r="J172" s="22"/>
      <c r="K172" s="22"/>
      <c r="L172" s="22"/>
      <c r="M172" s="22"/>
      <c r="N172"/>
      <c r="O172"/>
    </row>
    <row r="173" spans="1:15" ht="14.4" collapsed="1">
      <c r="A173" s="33" t="s">
        <v>0</v>
      </c>
      <c r="B173" s="41"/>
      <c r="C173" s="130">
        <v>340000</v>
      </c>
      <c r="D173" s="195" t="s">
        <v>9</v>
      </c>
      <c r="E173" s="63" t="s">
        <v>8</v>
      </c>
      <c r="F173" s="165"/>
      <c r="G173" s="219">
        <f t="shared" ref="G173:I173" si="34">G202</f>
        <v>396000</v>
      </c>
      <c r="H173" s="244">
        <f t="shared" si="34"/>
        <v>453000</v>
      </c>
      <c r="I173" s="246">
        <f t="shared" si="34"/>
        <v>538143</v>
      </c>
      <c r="J173" s="22"/>
      <c r="K173" s="22"/>
      <c r="L173" s="5"/>
      <c r="M173" s="5"/>
    </row>
    <row r="174" spans="1:15" ht="14.4" hidden="1" outlineLevel="1">
      <c r="A174" s="33" t="s">
        <v>0</v>
      </c>
      <c r="B174" s="41"/>
      <c r="C174" s="132">
        <v>340100</v>
      </c>
      <c r="D174" s="66" t="s">
        <v>259</v>
      </c>
      <c r="E174" s="66"/>
      <c r="F174" s="85"/>
      <c r="G174" s="219"/>
      <c r="H174" s="244"/>
      <c r="I174" s="215"/>
      <c r="J174" s="20"/>
      <c r="K174" s="20"/>
      <c r="L174" s="88"/>
      <c r="M174" s="5"/>
    </row>
    <row r="175" spans="1:15" ht="14.4" hidden="1" outlineLevel="1">
      <c r="A175" s="55" t="s">
        <v>136</v>
      </c>
      <c r="B175" s="41">
        <v>5093</v>
      </c>
      <c r="C175" s="127">
        <v>340101</v>
      </c>
      <c r="D175" s="67" t="s">
        <v>31</v>
      </c>
      <c r="E175" s="67"/>
      <c r="F175" s="85"/>
      <c r="G175" s="219"/>
      <c r="H175" s="244">
        <v>2000</v>
      </c>
      <c r="I175" s="246">
        <v>0</v>
      </c>
      <c r="J175" s="20"/>
      <c r="K175" s="20"/>
      <c r="L175" s="88"/>
      <c r="M175" s="5"/>
    </row>
    <row r="176" spans="1:15" ht="14.4" hidden="1" outlineLevel="1">
      <c r="A176" s="55" t="s">
        <v>136</v>
      </c>
      <c r="B176" s="41">
        <v>5071</v>
      </c>
      <c r="C176" s="127">
        <v>340102</v>
      </c>
      <c r="D176" s="67" t="s">
        <v>29</v>
      </c>
      <c r="E176" s="67"/>
      <c r="F176" s="85"/>
      <c r="G176" s="219">
        <v>2000</v>
      </c>
      <c r="H176" s="244">
        <v>4000</v>
      </c>
      <c r="I176" s="246">
        <v>3978</v>
      </c>
      <c r="J176" s="20"/>
      <c r="K176" s="20"/>
      <c r="L176" s="20"/>
      <c r="M176" s="5"/>
    </row>
    <row r="177" spans="1:14" ht="14.4" hidden="1" outlineLevel="1">
      <c r="A177" s="55" t="s">
        <v>136</v>
      </c>
      <c r="B177" s="41">
        <v>5092</v>
      </c>
      <c r="C177" s="127">
        <v>340103</v>
      </c>
      <c r="D177" s="67" t="s">
        <v>32</v>
      </c>
      <c r="E177" s="67"/>
      <c r="F177" s="85"/>
      <c r="G177" s="219">
        <v>5000</v>
      </c>
      <c r="H177" s="244">
        <v>2000</v>
      </c>
      <c r="I177" s="246">
        <v>3667</v>
      </c>
      <c r="J177" s="20"/>
      <c r="K177" s="20"/>
      <c r="L177" s="20"/>
      <c r="M177" s="5"/>
    </row>
    <row r="178" spans="1:14" ht="14.4" hidden="1" outlineLevel="1">
      <c r="A178" s="55" t="s">
        <v>136</v>
      </c>
      <c r="B178" s="41"/>
      <c r="C178" s="127">
        <v>340109</v>
      </c>
      <c r="D178" s="67" t="s">
        <v>252</v>
      </c>
      <c r="E178" s="67"/>
      <c r="F178" s="85"/>
      <c r="G178" s="220"/>
      <c r="H178" s="245">
        <v>0</v>
      </c>
      <c r="I178" s="247">
        <v>1164</v>
      </c>
      <c r="J178" s="20"/>
      <c r="K178" s="20"/>
      <c r="L178" s="20"/>
      <c r="M178" s="5"/>
    </row>
    <row r="179" spans="1:14" ht="14.4" hidden="1" outlineLevel="1">
      <c r="A179" s="33" t="s">
        <v>2</v>
      </c>
      <c r="B179" s="44">
        <v>5079</v>
      </c>
      <c r="C179" s="132">
        <v>340199</v>
      </c>
      <c r="D179" s="66" t="s">
        <v>65</v>
      </c>
      <c r="E179" s="67"/>
      <c r="F179" s="85"/>
      <c r="G179" s="214">
        <f>SUM(G175:G177)</f>
        <v>7000</v>
      </c>
      <c r="H179" s="242">
        <f>SUM(H175:H177)</f>
        <v>8000</v>
      </c>
      <c r="I179" s="243">
        <f>SUM(I175:I178)</f>
        <v>8809</v>
      </c>
      <c r="J179" s="20"/>
      <c r="K179" s="20"/>
      <c r="L179" s="20"/>
      <c r="M179" s="5"/>
    </row>
    <row r="180" spans="1:14" ht="14.4" hidden="1" outlineLevel="1">
      <c r="B180" s="41"/>
      <c r="D180" s="66"/>
      <c r="E180" s="67"/>
      <c r="F180" s="85"/>
      <c r="G180" s="223"/>
      <c r="H180" s="215"/>
      <c r="I180" s="215"/>
      <c r="J180" s="20"/>
      <c r="K180" s="20"/>
      <c r="L180" s="20"/>
      <c r="M180" s="5"/>
    </row>
    <row r="181" spans="1:14" ht="14.4" hidden="1" outlineLevel="1">
      <c r="A181" s="33" t="s">
        <v>0</v>
      </c>
      <c r="B181" s="41"/>
      <c r="C181" s="132">
        <v>340200</v>
      </c>
      <c r="D181" s="66" t="s">
        <v>73</v>
      </c>
      <c r="E181" s="67"/>
      <c r="F181" s="85"/>
      <c r="G181" s="215"/>
      <c r="H181" s="215"/>
      <c r="I181" s="215"/>
      <c r="J181" s="20"/>
      <c r="K181" s="20"/>
      <c r="L181" s="20"/>
      <c r="M181" s="5"/>
    </row>
    <row r="182" spans="1:14" ht="14.4" hidden="1" outlineLevel="1">
      <c r="A182" s="55" t="s">
        <v>136</v>
      </c>
      <c r="B182" s="41">
        <v>5082</v>
      </c>
      <c r="C182" s="127">
        <v>340201</v>
      </c>
      <c r="D182" s="67" t="s">
        <v>74</v>
      </c>
      <c r="E182" s="68"/>
      <c r="F182" s="85"/>
      <c r="G182" s="219">
        <v>55000</v>
      </c>
      <c r="H182" s="244">
        <v>0</v>
      </c>
      <c r="I182" s="246">
        <v>0</v>
      </c>
      <c r="J182" s="20"/>
      <c r="K182" s="20"/>
      <c r="L182" s="20"/>
      <c r="M182" s="5"/>
    </row>
    <row r="183" spans="1:14" ht="14.4" hidden="1" outlineLevel="1">
      <c r="A183" s="147" t="s">
        <v>136</v>
      </c>
      <c r="B183" s="148"/>
      <c r="C183" s="149">
        <v>340202</v>
      </c>
      <c r="D183" s="196" t="s">
        <v>320</v>
      </c>
      <c r="E183" s="68"/>
      <c r="F183" s="85"/>
      <c r="G183" s="219"/>
      <c r="H183" s="244"/>
      <c r="I183" s="246"/>
      <c r="J183" s="121" t="s">
        <v>313</v>
      </c>
      <c r="K183" s="103"/>
      <c r="L183" s="103"/>
      <c r="M183" s="104"/>
      <c r="N183" s="108" t="s">
        <v>324</v>
      </c>
    </row>
    <row r="184" spans="1:14" hidden="1" outlineLevel="1">
      <c r="A184" s="55" t="s">
        <v>136</v>
      </c>
      <c r="B184" s="41">
        <v>5080</v>
      </c>
      <c r="C184" s="127">
        <v>340205</v>
      </c>
      <c r="D184" s="67" t="s">
        <v>36</v>
      </c>
      <c r="E184" s="68"/>
      <c r="F184" s="85" t="s">
        <v>295</v>
      </c>
      <c r="G184" s="219">
        <v>15000</v>
      </c>
      <c r="H184" s="244">
        <v>0</v>
      </c>
      <c r="I184" s="246">
        <v>10758</v>
      </c>
      <c r="J184" s="122" t="s">
        <v>312</v>
      </c>
      <c r="K184" s="123" t="s">
        <v>311</v>
      </c>
      <c r="L184" s="124" t="s">
        <v>319</v>
      </c>
      <c r="M184" s="125" t="s">
        <v>318</v>
      </c>
      <c r="N184" s="109" t="s">
        <v>325</v>
      </c>
    </row>
    <row r="185" spans="1:14" hidden="1" outlineLevel="1">
      <c r="A185" s="55" t="s">
        <v>136</v>
      </c>
      <c r="B185" s="41">
        <v>5083</v>
      </c>
      <c r="C185" s="127">
        <v>340207</v>
      </c>
      <c r="D185" s="67" t="s">
        <v>75</v>
      </c>
      <c r="E185" s="67"/>
      <c r="F185" s="85"/>
      <c r="G185" s="219">
        <v>60000</v>
      </c>
      <c r="H185" s="244">
        <v>14000</v>
      </c>
      <c r="I185" s="246">
        <v>5000</v>
      </c>
      <c r="J185" s="110">
        <f>37*52</f>
        <v>1924</v>
      </c>
      <c r="K185" s="111">
        <v>200</v>
      </c>
      <c r="L185" s="112">
        <f>K185*J185</f>
        <v>384800</v>
      </c>
      <c r="M185" s="113">
        <f>L185/2</f>
        <v>192400</v>
      </c>
      <c r="N185" s="114">
        <f>M185*11/12</f>
        <v>176366.66666666666</v>
      </c>
    </row>
    <row r="186" spans="1:14" hidden="1" outlineLevel="1">
      <c r="A186" s="55" t="s">
        <v>136</v>
      </c>
      <c r="B186" s="41">
        <v>5085</v>
      </c>
      <c r="C186" s="127">
        <v>340208</v>
      </c>
      <c r="D186" s="67" t="s">
        <v>76</v>
      </c>
      <c r="E186" s="67"/>
      <c r="F186" s="85"/>
      <c r="G186" s="219">
        <v>12000</v>
      </c>
      <c r="H186" s="244">
        <v>7000</v>
      </c>
      <c r="I186" s="246">
        <v>1700</v>
      </c>
      <c r="J186" s="110">
        <f>37*52</f>
        <v>1924</v>
      </c>
      <c r="K186" s="111">
        <v>225</v>
      </c>
      <c r="L186" s="112">
        <f t="shared" ref="L186:L188" si="35">K186*J186</f>
        <v>432900</v>
      </c>
      <c r="M186" s="113">
        <f t="shared" ref="M186:M188" si="36">L186/2</f>
        <v>216450</v>
      </c>
      <c r="N186" s="115">
        <f>M186*11/12</f>
        <v>198412.5</v>
      </c>
    </row>
    <row r="187" spans="1:14" hidden="1" outlineLevel="1">
      <c r="A187" s="55" t="s">
        <v>136</v>
      </c>
      <c r="B187" s="46">
        <v>1400</v>
      </c>
      <c r="D187" s="152" t="s">
        <v>20</v>
      </c>
      <c r="E187" s="151"/>
      <c r="F187" s="173" t="s">
        <v>111</v>
      </c>
      <c r="G187" s="219">
        <v>-25000</v>
      </c>
      <c r="H187" s="215"/>
      <c r="I187" s="215"/>
      <c r="J187" s="110">
        <f>37*52</f>
        <v>1924</v>
      </c>
      <c r="K187" s="111">
        <v>250</v>
      </c>
      <c r="L187" s="112">
        <f t="shared" si="35"/>
        <v>481000</v>
      </c>
      <c r="M187" s="113">
        <f t="shared" si="36"/>
        <v>240500</v>
      </c>
      <c r="N187" s="115">
        <f>M187*11/12</f>
        <v>220458.33333333334</v>
      </c>
    </row>
    <row r="188" spans="1:14" hidden="1" outlineLevel="1">
      <c r="A188" s="55" t="s">
        <v>136</v>
      </c>
      <c r="B188" s="46">
        <v>1401</v>
      </c>
      <c r="D188" s="152" t="s">
        <v>21</v>
      </c>
      <c r="E188" s="151"/>
      <c r="F188" s="173" t="s">
        <v>111</v>
      </c>
      <c r="G188" s="219">
        <v>-180000</v>
      </c>
      <c r="H188" s="215"/>
      <c r="I188" s="215"/>
      <c r="J188" s="116">
        <f>37*52</f>
        <v>1924</v>
      </c>
      <c r="K188" s="117">
        <v>300</v>
      </c>
      <c r="L188" s="118">
        <f t="shared" si="35"/>
        <v>577200</v>
      </c>
      <c r="M188" s="119">
        <f t="shared" si="36"/>
        <v>288600</v>
      </c>
      <c r="N188" s="120">
        <f>M188*11/12</f>
        <v>264550</v>
      </c>
    </row>
    <row r="189" spans="1:14" ht="14.4" hidden="1" outlineLevel="1">
      <c r="A189" s="55" t="s">
        <v>136</v>
      </c>
      <c r="B189" s="46">
        <v>1410</v>
      </c>
      <c r="D189" s="152" t="s">
        <v>22</v>
      </c>
      <c r="E189" s="151"/>
      <c r="F189" s="173" t="s">
        <v>111</v>
      </c>
      <c r="G189" s="219">
        <v>-15000</v>
      </c>
      <c r="H189" s="215"/>
      <c r="I189" s="215"/>
      <c r="J189" s="20"/>
      <c r="K189" s="20"/>
      <c r="L189" s="20"/>
      <c r="M189" s="5"/>
    </row>
    <row r="190" spans="1:14" ht="14.4" hidden="1" outlineLevel="1">
      <c r="A190" s="55"/>
      <c r="B190" s="46"/>
      <c r="C190" s="127">
        <v>340209</v>
      </c>
      <c r="D190" s="67" t="s">
        <v>303</v>
      </c>
      <c r="E190" s="8"/>
      <c r="F190" s="174"/>
      <c r="G190" s="219">
        <v>0</v>
      </c>
      <c r="H190" s="244">
        <v>0</v>
      </c>
      <c r="I190" s="246">
        <v>0</v>
      </c>
      <c r="J190" s="20"/>
      <c r="K190" s="20"/>
      <c r="L190" s="20"/>
      <c r="M190" s="5"/>
    </row>
    <row r="191" spans="1:14" ht="15" hidden="1" customHeight="1" outlineLevel="1">
      <c r="A191" s="55" t="s">
        <v>136</v>
      </c>
      <c r="B191" s="46">
        <v>5060</v>
      </c>
      <c r="C191" s="127">
        <v>340212</v>
      </c>
      <c r="D191" s="67" t="s">
        <v>304</v>
      </c>
      <c r="E191" s="69"/>
      <c r="F191" s="85" t="s">
        <v>321</v>
      </c>
      <c r="G191" s="219">
        <v>15000</v>
      </c>
      <c r="H191" s="244">
        <v>12000</v>
      </c>
      <c r="I191" s="246">
        <v>3900</v>
      </c>
      <c r="J191" s="20"/>
      <c r="K191" s="20"/>
      <c r="L191" s="20"/>
      <c r="M191" s="5"/>
    </row>
    <row r="192" spans="1:14" ht="14.4" hidden="1" outlineLevel="1">
      <c r="A192" s="55" t="s">
        <v>136</v>
      </c>
      <c r="B192" s="41">
        <v>5020</v>
      </c>
      <c r="C192" s="127">
        <v>340214</v>
      </c>
      <c r="D192" s="67" t="s">
        <v>101</v>
      </c>
      <c r="E192" s="69"/>
      <c r="F192" s="85"/>
      <c r="G192" s="219">
        <v>55000</v>
      </c>
      <c r="H192" s="244">
        <v>55000</v>
      </c>
      <c r="I192" s="246">
        <v>58569</v>
      </c>
      <c r="J192" s="146"/>
      <c r="K192" s="141"/>
      <c r="L192" s="141"/>
      <c r="M192" s="72"/>
      <c r="N192" s="72"/>
    </row>
    <row r="193" spans="1:14" hidden="1" outlineLevel="1">
      <c r="A193" s="55" t="s">
        <v>136</v>
      </c>
      <c r="B193" s="41">
        <v>5030</v>
      </c>
      <c r="C193" s="127">
        <v>340215</v>
      </c>
      <c r="D193" s="67" t="s">
        <v>176</v>
      </c>
      <c r="E193" s="69"/>
      <c r="F193" s="85" t="s">
        <v>322</v>
      </c>
      <c r="G193" s="219">
        <v>27000</v>
      </c>
      <c r="H193" s="244">
        <v>27000</v>
      </c>
      <c r="I193" s="246">
        <v>0</v>
      </c>
      <c r="J193" s="142"/>
      <c r="K193" s="142"/>
      <c r="L193" s="143"/>
      <c r="M193" s="143"/>
      <c r="N193" s="144"/>
    </row>
    <row r="194" spans="1:14" hidden="1" outlineLevel="1">
      <c r="A194" s="55" t="s">
        <v>136</v>
      </c>
      <c r="B194" s="46">
        <v>5065</v>
      </c>
      <c r="C194" s="127">
        <v>340216</v>
      </c>
      <c r="D194" s="67" t="s">
        <v>256</v>
      </c>
      <c r="E194" s="69"/>
      <c r="F194" s="85" t="s">
        <v>255</v>
      </c>
      <c r="G194" s="219">
        <v>20000</v>
      </c>
      <c r="H194" s="244">
        <v>20000</v>
      </c>
      <c r="I194" s="246">
        <v>3208</v>
      </c>
      <c r="J194" s="144"/>
      <c r="K194" s="144"/>
      <c r="L194" s="145"/>
      <c r="M194" s="145"/>
      <c r="N194" s="145"/>
    </row>
    <row r="195" spans="1:14" hidden="1" outlineLevel="1">
      <c r="A195" s="55" t="s">
        <v>136</v>
      </c>
      <c r="B195" s="44">
        <v>5067</v>
      </c>
      <c r="C195" s="127">
        <v>340218</v>
      </c>
      <c r="D195" s="67" t="s">
        <v>102</v>
      </c>
      <c r="E195" s="69"/>
      <c r="F195" s="85"/>
      <c r="G195" s="219">
        <v>0</v>
      </c>
      <c r="H195" s="244">
        <v>7000</v>
      </c>
      <c r="I195" s="246">
        <v>10260</v>
      </c>
      <c r="J195" s="144"/>
      <c r="K195" s="144"/>
      <c r="L195" s="145"/>
      <c r="M195" s="145"/>
      <c r="N195" s="145"/>
    </row>
    <row r="196" spans="1:14" hidden="1" outlineLevel="1">
      <c r="A196" s="55" t="s">
        <v>136</v>
      </c>
      <c r="B196" s="41">
        <v>5062</v>
      </c>
      <c r="C196" s="127">
        <v>340221</v>
      </c>
      <c r="D196" s="67" t="s">
        <v>253</v>
      </c>
      <c r="E196" s="69"/>
      <c r="F196" s="85"/>
      <c r="G196" s="219">
        <v>270000</v>
      </c>
      <c r="H196" s="244">
        <v>240000</v>
      </c>
      <c r="I196" s="246">
        <v>347927</v>
      </c>
      <c r="J196" s="144"/>
      <c r="K196" s="144"/>
      <c r="L196" s="145"/>
      <c r="M196" s="145"/>
      <c r="N196" s="145"/>
    </row>
    <row r="197" spans="1:14" hidden="1" outlineLevel="1">
      <c r="A197" s="55" t="s">
        <v>136</v>
      </c>
      <c r="B197" s="41">
        <v>5061</v>
      </c>
      <c r="C197" s="127">
        <v>340222</v>
      </c>
      <c r="D197" s="67" t="s">
        <v>310</v>
      </c>
      <c r="E197" s="69"/>
      <c r="F197" s="85"/>
      <c r="G197" s="219">
        <v>60000</v>
      </c>
      <c r="H197" s="244">
        <v>50000</v>
      </c>
      <c r="I197" s="246">
        <v>48613</v>
      </c>
      <c r="J197" s="144"/>
      <c r="K197" s="144"/>
      <c r="L197" s="145"/>
      <c r="M197" s="145"/>
      <c r="N197" s="145"/>
    </row>
    <row r="198" spans="1:14" ht="14.4" hidden="1" outlineLevel="1">
      <c r="A198" s="55" t="s">
        <v>136</v>
      </c>
      <c r="B198" s="41">
        <v>5063</v>
      </c>
      <c r="C198" s="127">
        <v>340223</v>
      </c>
      <c r="D198" s="67" t="s">
        <v>254</v>
      </c>
      <c r="E198" s="69"/>
      <c r="F198" s="85"/>
      <c r="G198" s="219">
        <v>20000</v>
      </c>
      <c r="H198" s="244">
        <v>20000</v>
      </c>
      <c r="I198" s="246">
        <v>39399</v>
      </c>
      <c r="J198" s="88"/>
      <c r="K198" s="22"/>
      <c r="L198" s="22"/>
      <c r="M198" s="5"/>
    </row>
    <row r="199" spans="1:14" ht="14.4" hidden="1" outlineLevel="1">
      <c r="A199" s="55"/>
      <c r="B199" s="41"/>
      <c r="C199" s="127">
        <v>340255</v>
      </c>
      <c r="D199" s="67" t="s">
        <v>258</v>
      </c>
      <c r="E199" s="69"/>
      <c r="F199" s="85" t="s">
        <v>257</v>
      </c>
      <c r="G199" s="220">
        <v>0</v>
      </c>
      <c r="H199" s="245">
        <v>0</v>
      </c>
      <c r="I199" s="247">
        <v>0</v>
      </c>
      <c r="J199" s="88"/>
      <c r="K199" s="22"/>
      <c r="L199" s="22"/>
      <c r="M199" s="5"/>
    </row>
    <row r="200" spans="1:14" ht="14.4" hidden="1" outlineLevel="1">
      <c r="A200" s="33" t="s">
        <v>2</v>
      </c>
      <c r="B200" s="44">
        <v>5089</v>
      </c>
      <c r="C200" s="132">
        <v>340299</v>
      </c>
      <c r="D200" s="66" t="s">
        <v>77</v>
      </c>
      <c r="E200" s="67"/>
      <c r="F200" s="85"/>
      <c r="G200" s="214">
        <f>SUM(G182:G199)</f>
        <v>389000</v>
      </c>
      <c r="H200" s="242">
        <v>445000</v>
      </c>
      <c r="I200" s="243">
        <f t="shared" ref="I200" si="37">SUM(I182:I199)</f>
        <v>529334</v>
      </c>
      <c r="J200" s="22"/>
      <c r="K200" s="22"/>
      <c r="L200" s="5"/>
      <c r="M200" s="5"/>
    </row>
    <row r="201" spans="1:14" ht="14.4" hidden="1" outlineLevel="1">
      <c r="B201" s="41"/>
      <c r="D201" s="66"/>
      <c r="E201" s="67"/>
      <c r="F201" s="85"/>
      <c r="G201" s="215"/>
      <c r="H201" s="215"/>
      <c r="I201" s="215"/>
      <c r="J201" s="22"/>
      <c r="K201" s="22"/>
      <c r="L201" s="5"/>
      <c r="M201" s="5"/>
    </row>
    <row r="202" spans="1:14" hidden="1" outlineLevel="1">
      <c r="A202" s="33" t="s">
        <v>2</v>
      </c>
      <c r="B202" s="41"/>
      <c r="C202" s="132">
        <v>349999</v>
      </c>
      <c r="D202" s="66" t="s">
        <v>37</v>
      </c>
      <c r="E202" s="67"/>
      <c r="F202" s="85"/>
      <c r="G202" s="214">
        <f t="shared" ref="G202:I202" si="38">G179+G200</f>
        <v>396000</v>
      </c>
      <c r="H202" s="242">
        <f t="shared" si="38"/>
        <v>453000</v>
      </c>
      <c r="I202" s="243">
        <f t="shared" si="38"/>
        <v>538143</v>
      </c>
      <c r="J202" s="5"/>
      <c r="K202" s="5"/>
      <c r="L202" s="5"/>
      <c r="M202" s="5"/>
    </row>
    <row r="203" spans="1:14" hidden="1" outlineLevel="1">
      <c r="B203" s="41"/>
      <c r="D203" s="67"/>
      <c r="E203" s="67"/>
      <c r="F203" s="85"/>
      <c r="G203" s="215"/>
      <c r="H203" s="215"/>
      <c r="I203" s="215"/>
      <c r="J203" s="5"/>
      <c r="K203" s="5"/>
      <c r="L203" s="5"/>
      <c r="M203" s="5"/>
    </row>
    <row r="204" spans="1:14" ht="15" customHeight="1" collapsed="1">
      <c r="A204" s="33" t="s">
        <v>0</v>
      </c>
      <c r="B204" s="41"/>
      <c r="C204" s="130">
        <v>350000</v>
      </c>
      <c r="D204" s="63" t="s">
        <v>47</v>
      </c>
      <c r="E204" s="63" t="s">
        <v>63</v>
      </c>
      <c r="F204" s="165"/>
      <c r="G204" s="219">
        <f t="shared" ref="G204:I204" si="39">G215</f>
        <v>28000</v>
      </c>
      <c r="H204" s="244">
        <f t="shared" si="39"/>
        <v>32000</v>
      </c>
      <c r="I204" s="246">
        <f t="shared" si="39"/>
        <v>30252</v>
      </c>
      <c r="J204" s="5"/>
      <c r="K204" s="5"/>
      <c r="L204" s="5"/>
      <c r="M204" s="5"/>
    </row>
    <row r="205" spans="1:14" ht="15" hidden="1" customHeight="1" outlineLevel="1">
      <c r="A205" s="33" t="s">
        <v>0</v>
      </c>
      <c r="B205" s="41"/>
      <c r="C205" s="132">
        <v>350100</v>
      </c>
      <c r="D205" s="11" t="s">
        <v>260</v>
      </c>
      <c r="E205" s="14"/>
      <c r="G205" s="223"/>
      <c r="H205" s="244"/>
      <c r="I205" s="215"/>
      <c r="J205" s="5"/>
      <c r="K205" s="5"/>
      <c r="L205" s="5"/>
      <c r="M205" s="5"/>
    </row>
    <row r="206" spans="1:14" ht="15" hidden="1" customHeight="1" outlineLevel="1">
      <c r="A206" s="33" t="s">
        <v>136</v>
      </c>
      <c r="B206" s="41"/>
      <c r="C206" s="127">
        <v>350101</v>
      </c>
      <c r="D206" s="14" t="s">
        <v>261</v>
      </c>
      <c r="E206" s="14"/>
      <c r="G206" s="219">
        <v>0</v>
      </c>
      <c r="H206" s="244">
        <v>0</v>
      </c>
      <c r="I206" s="246">
        <v>0</v>
      </c>
      <c r="J206" s="5"/>
      <c r="K206" s="5"/>
      <c r="L206" s="5"/>
      <c r="M206" s="5"/>
    </row>
    <row r="207" spans="1:14" ht="15" hidden="1" customHeight="1" outlineLevel="1">
      <c r="A207" s="33" t="s">
        <v>136</v>
      </c>
      <c r="B207" s="41"/>
      <c r="C207" s="127">
        <v>350102</v>
      </c>
      <c r="D207" s="14" t="s">
        <v>262</v>
      </c>
      <c r="E207" s="14"/>
      <c r="G207" s="219">
        <v>0</v>
      </c>
      <c r="H207" s="244">
        <v>0</v>
      </c>
      <c r="I207" s="246">
        <v>0</v>
      </c>
      <c r="J207" s="5"/>
      <c r="K207" s="5"/>
      <c r="L207" s="5"/>
      <c r="M207" s="5"/>
    </row>
    <row r="208" spans="1:14" ht="15" hidden="1" customHeight="1" outlineLevel="1">
      <c r="A208" s="33" t="s">
        <v>136</v>
      </c>
      <c r="B208" s="41"/>
      <c r="C208" s="127">
        <v>350103</v>
      </c>
      <c r="D208" s="14" t="s">
        <v>263</v>
      </c>
      <c r="E208" s="14"/>
      <c r="G208" s="219">
        <v>0</v>
      </c>
      <c r="H208" s="244">
        <v>0</v>
      </c>
      <c r="I208" s="246">
        <v>0</v>
      </c>
      <c r="J208" s="5"/>
      <c r="K208" s="5"/>
      <c r="L208" s="5"/>
      <c r="M208" s="5"/>
    </row>
    <row r="209" spans="1:13" ht="15" hidden="1" customHeight="1" outlineLevel="1">
      <c r="A209" s="33" t="s">
        <v>136</v>
      </c>
      <c r="B209" s="41"/>
      <c r="C209" s="127">
        <v>350109</v>
      </c>
      <c r="D209" s="14" t="s">
        <v>264</v>
      </c>
      <c r="E209" s="14"/>
      <c r="G209" s="220">
        <v>0</v>
      </c>
      <c r="H209" s="245">
        <v>0</v>
      </c>
      <c r="I209" s="247">
        <v>0</v>
      </c>
      <c r="J209" s="5"/>
      <c r="K209" s="5"/>
      <c r="L209" s="5"/>
      <c r="M209" s="5"/>
    </row>
    <row r="210" spans="1:13" ht="15" hidden="1" customHeight="1" outlineLevel="1">
      <c r="A210" s="33" t="s">
        <v>2</v>
      </c>
      <c r="B210" s="41"/>
      <c r="C210" s="132">
        <v>350199</v>
      </c>
      <c r="D210" s="11" t="s">
        <v>265</v>
      </c>
      <c r="E210" s="14"/>
      <c r="G210" s="214">
        <f t="shared" ref="G210:I210" si="40">SUM(G206:G209)</f>
        <v>0</v>
      </c>
      <c r="H210" s="242">
        <f t="shared" si="40"/>
        <v>0</v>
      </c>
      <c r="I210" s="243">
        <f t="shared" si="40"/>
        <v>0</v>
      </c>
      <c r="J210" s="5"/>
      <c r="K210" s="5"/>
      <c r="L210" s="5"/>
      <c r="M210" s="5"/>
    </row>
    <row r="211" spans="1:13" ht="15" hidden="1" customHeight="1" outlineLevel="1">
      <c r="B211" s="41"/>
      <c r="C211" s="132"/>
      <c r="D211" s="11"/>
      <c r="E211" s="14"/>
      <c r="G211" s="223"/>
      <c r="H211" s="223"/>
      <c r="I211" s="223"/>
      <c r="J211" s="5"/>
      <c r="K211" s="5"/>
      <c r="L211" s="5"/>
      <c r="M211" s="5"/>
    </row>
    <row r="212" spans="1:13" ht="15" hidden="1" customHeight="1" outlineLevel="1">
      <c r="B212" s="41"/>
      <c r="C212" s="127">
        <v>358801</v>
      </c>
      <c r="D212" s="14" t="s">
        <v>70</v>
      </c>
      <c r="E212" s="14"/>
      <c r="F212" s="105" t="s">
        <v>314</v>
      </c>
      <c r="G212" s="219">
        <v>18000</v>
      </c>
      <c r="H212" s="244">
        <v>20000</v>
      </c>
      <c r="I212" s="246">
        <v>18944</v>
      </c>
      <c r="J212" s="5"/>
      <c r="K212" s="5"/>
      <c r="L212" s="5"/>
      <c r="M212" s="5"/>
    </row>
    <row r="213" spans="1:13" ht="15" hidden="1" customHeight="1" outlineLevel="1">
      <c r="A213" s="33" t="s">
        <v>136</v>
      </c>
      <c r="B213" s="41">
        <v>4510</v>
      </c>
      <c r="C213" s="127">
        <v>358805</v>
      </c>
      <c r="D213" s="14" t="s">
        <v>167</v>
      </c>
      <c r="E213" s="14"/>
      <c r="F213" s="175"/>
      <c r="G213" s="219">
        <v>10000</v>
      </c>
      <c r="H213" s="244">
        <v>12000</v>
      </c>
      <c r="I213" s="246">
        <v>11308</v>
      </c>
      <c r="J213" s="5"/>
      <c r="K213" s="5"/>
      <c r="L213" s="5"/>
      <c r="M213" s="5"/>
    </row>
    <row r="214" spans="1:13" ht="15" hidden="1" customHeight="1" outlineLevel="1">
      <c r="B214" s="41"/>
      <c r="G214" s="215"/>
      <c r="H214" s="215"/>
      <c r="I214" s="215"/>
      <c r="J214" s="5"/>
      <c r="K214" s="5"/>
      <c r="L214" s="5"/>
      <c r="M214" s="5"/>
    </row>
    <row r="215" spans="1:13" ht="15" hidden="1" customHeight="1" outlineLevel="1">
      <c r="A215" s="33" t="s">
        <v>2</v>
      </c>
      <c r="B215" s="41">
        <v>4599</v>
      </c>
      <c r="C215" s="127">
        <v>359999</v>
      </c>
      <c r="D215" s="12" t="s">
        <v>69</v>
      </c>
      <c r="G215" s="214">
        <f t="shared" ref="G215:I215" si="41">SUM(G210:G214)</f>
        <v>28000</v>
      </c>
      <c r="H215" s="242">
        <f t="shared" si="41"/>
        <v>32000</v>
      </c>
      <c r="I215" s="243">
        <f t="shared" si="41"/>
        <v>30252</v>
      </c>
      <c r="J215" s="5"/>
      <c r="K215" s="5"/>
      <c r="L215" s="5"/>
      <c r="M215" s="5"/>
    </row>
    <row r="216" spans="1:13" ht="15" hidden="1" customHeight="1" outlineLevel="1">
      <c r="B216" s="41"/>
      <c r="G216" s="215"/>
      <c r="H216" s="215"/>
      <c r="I216" s="215"/>
      <c r="J216" s="5"/>
      <c r="K216" s="5"/>
      <c r="L216" s="5"/>
      <c r="M216" s="5"/>
    </row>
    <row r="217" spans="1:13" ht="15" customHeight="1" collapsed="1">
      <c r="A217" s="33" t="s">
        <v>0</v>
      </c>
      <c r="B217" s="41"/>
      <c r="C217" s="130">
        <v>420000</v>
      </c>
      <c r="D217" s="37" t="s">
        <v>108</v>
      </c>
      <c r="E217" s="37"/>
      <c r="F217" s="176"/>
      <c r="G217" s="219">
        <f>SUM(G218:G221)</f>
        <v>0</v>
      </c>
      <c r="H217" s="244">
        <f t="shared" ref="H217:I217" si="42">SUM(H218:H219)</f>
        <v>187000</v>
      </c>
      <c r="I217" s="246">
        <f t="shared" si="42"/>
        <v>102115</v>
      </c>
      <c r="J217" s="5"/>
      <c r="K217" s="5"/>
      <c r="L217" s="5"/>
      <c r="M217" s="5"/>
    </row>
    <row r="218" spans="1:13" ht="15" hidden="1" customHeight="1" outlineLevel="1">
      <c r="A218" s="33" t="s">
        <v>136</v>
      </c>
      <c r="B218" s="41">
        <v>4000</v>
      </c>
      <c r="C218" s="107">
        <v>420101</v>
      </c>
      <c r="D218" s="14" t="s">
        <v>64</v>
      </c>
      <c r="E218" s="14" t="s">
        <v>61</v>
      </c>
      <c r="F218" s="50"/>
      <c r="G218" s="219">
        <v>0</v>
      </c>
      <c r="H218" s="244">
        <v>160000</v>
      </c>
      <c r="I218" s="246">
        <v>84115</v>
      </c>
      <c r="J218" s="5"/>
      <c r="K218" s="5"/>
      <c r="L218" s="5"/>
      <c r="M218" s="5"/>
    </row>
    <row r="219" spans="1:13" s="5" customFormat="1" ht="15" hidden="1" customHeight="1" outlineLevel="1">
      <c r="A219" s="33" t="s">
        <v>136</v>
      </c>
      <c r="B219" s="41">
        <v>4010</v>
      </c>
      <c r="C219" s="107">
        <v>420201</v>
      </c>
      <c r="D219" s="67" t="s">
        <v>270</v>
      </c>
      <c r="E219" s="14" t="s">
        <v>61</v>
      </c>
      <c r="F219" s="85"/>
      <c r="G219" s="220">
        <v>0</v>
      </c>
      <c r="H219" s="245">
        <v>27000</v>
      </c>
      <c r="I219" s="247">
        <v>18000</v>
      </c>
    </row>
    <row r="220" spans="1:13" s="5" customFormat="1" ht="15" hidden="1" customHeight="1" outlineLevel="1">
      <c r="A220" s="50" t="s">
        <v>2</v>
      </c>
      <c r="B220" s="41"/>
      <c r="C220" s="130">
        <v>429999</v>
      </c>
      <c r="D220" s="11" t="s">
        <v>271</v>
      </c>
      <c r="E220" s="14"/>
      <c r="F220" s="50"/>
      <c r="G220" s="219">
        <f t="shared" ref="G220:I220" si="43">SUM(G218:G219)</f>
        <v>0</v>
      </c>
      <c r="H220" s="244">
        <f t="shared" si="43"/>
        <v>187000</v>
      </c>
      <c r="I220" s="246">
        <f t="shared" si="43"/>
        <v>102115</v>
      </c>
    </row>
    <row r="221" spans="1:13" ht="15" hidden="1" customHeight="1" outlineLevel="1">
      <c r="B221" s="41"/>
      <c r="C221" s="107"/>
      <c r="D221" s="14"/>
      <c r="E221" s="14"/>
      <c r="F221" s="50"/>
      <c r="G221" s="215"/>
      <c r="H221" s="215"/>
      <c r="I221" s="215"/>
      <c r="J221" s="5"/>
      <c r="K221" s="5"/>
      <c r="L221" s="5"/>
      <c r="M221" s="5"/>
    </row>
    <row r="222" spans="1:13" ht="15" customHeight="1" collapsed="1">
      <c r="A222" s="33" t="s">
        <v>0</v>
      </c>
      <c r="B222" s="41"/>
      <c r="C222" s="130">
        <v>410000</v>
      </c>
      <c r="D222" s="197" t="s">
        <v>186</v>
      </c>
      <c r="E222" s="36"/>
      <c r="F222" s="177"/>
      <c r="G222" s="219">
        <f t="shared" ref="G222:I222" si="44">G239</f>
        <v>156000</v>
      </c>
      <c r="H222" s="244">
        <f t="shared" si="44"/>
        <v>96000</v>
      </c>
      <c r="I222" s="246">
        <f t="shared" si="44"/>
        <v>164164</v>
      </c>
      <c r="J222" s="5"/>
      <c r="K222" s="5"/>
      <c r="L222" s="5"/>
      <c r="M222" s="5"/>
    </row>
    <row r="223" spans="1:13" ht="15" hidden="1" customHeight="1" outlineLevel="1">
      <c r="B223" s="41"/>
      <c r="G223" s="215"/>
      <c r="H223" s="215"/>
      <c r="I223" s="215"/>
      <c r="J223" s="89"/>
      <c r="K223" s="20"/>
      <c r="L223" s="5"/>
      <c r="M223" s="5"/>
    </row>
    <row r="224" spans="1:13" ht="15" hidden="1" customHeight="1" outlineLevel="1">
      <c r="A224" s="33" t="s">
        <v>0</v>
      </c>
      <c r="B224" s="41"/>
      <c r="C224" s="132">
        <v>410100</v>
      </c>
      <c r="D224" s="11" t="s">
        <v>90</v>
      </c>
      <c r="G224" s="215"/>
      <c r="H224" s="215"/>
      <c r="I224" s="215"/>
      <c r="J224" s="89"/>
      <c r="K224" s="20"/>
      <c r="L224" s="5"/>
      <c r="M224" s="5"/>
    </row>
    <row r="225" spans="1:13" ht="15" hidden="1" customHeight="1" outlineLevel="1">
      <c r="A225" s="33" t="s">
        <v>136</v>
      </c>
      <c r="B225" s="41">
        <v>5091</v>
      </c>
      <c r="C225" s="127">
        <v>410101</v>
      </c>
      <c r="D225" s="12" t="s">
        <v>41</v>
      </c>
      <c r="E225" s="12" t="s">
        <v>60</v>
      </c>
      <c r="G225" s="219">
        <v>26000</v>
      </c>
      <c r="H225" s="244">
        <v>24000</v>
      </c>
      <c r="I225" s="246">
        <v>24000</v>
      </c>
      <c r="J225" s="89"/>
      <c r="K225" s="20"/>
      <c r="L225" s="5"/>
      <c r="M225" s="5"/>
    </row>
    <row r="226" spans="1:13" ht="15" hidden="1" customHeight="1" outlineLevel="1">
      <c r="A226" s="33" t="s">
        <v>136</v>
      </c>
      <c r="B226" s="41">
        <v>5090</v>
      </c>
      <c r="C226" s="127">
        <v>410102</v>
      </c>
      <c r="D226" s="12" t="s">
        <v>15</v>
      </c>
      <c r="E226" s="12" t="s">
        <v>60</v>
      </c>
      <c r="G226" s="219">
        <v>50000</v>
      </c>
      <c r="H226" s="244">
        <v>35000</v>
      </c>
      <c r="I226" s="246">
        <v>48375</v>
      </c>
      <c r="J226" s="90"/>
      <c r="K226" s="20"/>
      <c r="L226" s="5"/>
      <c r="M226" s="5"/>
    </row>
    <row r="227" spans="1:13" ht="15" hidden="1" customHeight="1" outlineLevel="1">
      <c r="A227" s="33" t="s">
        <v>136</v>
      </c>
      <c r="B227" s="41"/>
      <c r="C227" s="127">
        <v>410103</v>
      </c>
      <c r="D227" s="12" t="s">
        <v>317</v>
      </c>
      <c r="F227" s="33" t="s">
        <v>330</v>
      </c>
      <c r="G227" s="219"/>
      <c r="H227" s="244"/>
      <c r="I227" s="246"/>
      <c r="J227" s="90"/>
      <c r="K227" s="20"/>
      <c r="L227" s="5"/>
      <c r="M227" s="5"/>
    </row>
    <row r="228" spans="1:13" ht="15" hidden="1" customHeight="1" outlineLevel="1">
      <c r="A228" s="33" t="s">
        <v>136</v>
      </c>
      <c r="B228" s="45">
        <v>7000</v>
      </c>
      <c r="C228" s="107">
        <v>410105</v>
      </c>
      <c r="D228" s="12" t="s">
        <v>298</v>
      </c>
      <c r="E228" s="14" t="s">
        <v>60</v>
      </c>
      <c r="F228" s="50" t="s">
        <v>328</v>
      </c>
      <c r="G228" s="219">
        <v>20000</v>
      </c>
      <c r="H228" s="244">
        <v>10000</v>
      </c>
      <c r="I228" s="246">
        <v>38431</v>
      </c>
      <c r="J228" s="22"/>
      <c r="K228" s="20"/>
      <c r="L228" s="5"/>
      <c r="M228" s="5"/>
    </row>
    <row r="229" spans="1:13" ht="15" hidden="1" customHeight="1" outlineLevel="1">
      <c r="A229" s="33" t="s">
        <v>136</v>
      </c>
      <c r="B229" s="45">
        <v>7040</v>
      </c>
      <c r="C229" s="107">
        <v>410107</v>
      </c>
      <c r="D229" s="12" t="s">
        <v>266</v>
      </c>
      <c r="E229" s="14" t="s">
        <v>60</v>
      </c>
      <c r="F229" s="50"/>
      <c r="G229" s="220">
        <v>30000</v>
      </c>
      <c r="H229" s="245">
        <v>0</v>
      </c>
      <c r="I229" s="247">
        <v>32890</v>
      </c>
      <c r="J229" s="22"/>
      <c r="K229" s="20"/>
      <c r="L229" s="5"/>
      <c r="M229" s="5"/>
    </row>
    <row r="230" spans="1:13" ht="15" hidden="1" customHeight="1" outlineLevel="1">
      <c r="A230" s="33" t="s">
        <v>2</v>
      </c>
      <c r="B230" s="42" t="s">
        <v>165</v>
      </c>
      <c r="C230" s="130">
        <v>410199</v>
      </c>
      <c r="D230" s="16" t="s">
        <v>168</v>
      </c>
      <c r="E230" s="14"/>
      <c r="F230" s="50"/>
      <c r="G230" s="214">
        <f t="shared" ref="G230:I230" si="45">SUM(G225:G229)</f>
        <v>126000</v>
      </c>
      <c r="H230" s="242">
        <f t="shared" si="45"/>
        <v>69000</v>
      </c>
      <c r="I230" s="243">
        <f t="shared" si="45"/>
        <v>143696</v>
      </c>
      <c r="J230" s="22"/>
      <c r="K230" s="20"/>
      <c r="L230" s="5"/>
      <c r="M230" s="5"/>
    </row>
    <row r="231" spans="1:13" ht="15" hidden="1" customHeight="1" outlineLevel="1">
      <c r="B231" s="45"/>
      <c r="C231" s="107"/>
      <c r="D231" s="16"/>
      <c r="E231" s="14"/>
      <c r="F231" s="50"/>
      <c r="G231" s="223"/>
      <c r="H231" s="223"/>
      <c r="I231" s="223"/>
      <c r="J231" s="20"/>
      <c r="K231" s="5"/>
      <c r="L231" s="5"/>
      <c r="M231" s="5"/>
    </row>
    <row r="232" spans="1:13" ht="15" hidden="1" customHeight="1" outlineLevel="1">
      <c r="A232" s="33" t="s">
        <v>0</v>
      </c>
      <c r="B232" s="45"/>
      <c r="C232" s="130">
        <v>410200</v>
      </c>
      <c r="D232" s="16" t="s">
        <v>40</v>
      </c>
      <c r="E232" s="14"/>
      <c r="F232" s="50"/>
      <c r="G232" s="215"/>
      <c r="H232" s="215"/>
      <c r="I232" s="215"/>
      <c r="J232" s="20"/>
      <c r="K232" s="5"/>
      <c r="L232" s="5"/>
      <c r="M232" s="5"/>
    </row>
    <row r="233" spans="1:13" ht="15" hidden="1" customHeight="1" outlineLevel="1">
      <c r="A233" s="33" t="s">
        <v>136</v>
      </c>
      <c r="B233" s="45">
        <v>7020</v>
      </c>
      <c r="C233" s="107">
        <v>410201</v>
      </c>
      <c r="D233" s="12" t="s">
        <v>267</v>
      </c>
      <c r="E233" s="18"/>
      <c r="F233" s="50"/>
      <c r="G233" s="219">
        <v>30000</v>
      </c>
      <c r="H233" s="244">
        <v>20000</v>
      </c>
      <c r="I233" s="246">
        <v>2214</v>
      </c>
      <c r="J233" s="20"/>
      <c r="K233" s="5"/>
      <c r="L233" s="5"/>
      <c r="M233" s="5"/>
    </row>
    <row r="234" spans="1:13" s="5" customFormat="1" ht="15" hidden="1" customHeight="1" outlineLevel="1">
      <c r="A234" s="33" t="s">
        <v>136</v>
      </c>
      <c r="B234" s="42" t="s">
        <v>67</v>
      </c>
      <c r="C234" s="107">
        <v>410202</v>
      </c>
      <c r="D234" s="14" t="s">
        <v>269</v>
      </c>
      <c r="E234" s="14"/>
      <c r="F234" s="178"/>
      <c r="G234" s="219"/>
      <c r="H234" s="244">
        <v>7000</v>
      </c>
      <c r="I234" s="246">
        <v>13111</v>
      </c>
    </row>
    <row r="235" spans="1:13" s="5" customFormat="1" ht="15" hidden="1" customHeight="1" outlineLevel="1">
      <c r="A235" s="33" t="s">
        <v>136</v>
      </c>
      <c r="B235" s="42"/>
      <c r="C235" s="107">
        <v>410209</v>
      </c>
      <c r="D235" s="14" t="s">
        <v>268</v>
      </c>
      <c r="E235" s="14"/>
      <c r="F235" s="178"/>
      <c r="G235" s="219">
        <v>0</v>
      </c>
      <c r="H235" s="244">
        <v>0</v>
      </c>
      <c r="I235" s="246">
        <v>5143</v>
      </c>
    </row>
    <row r="236" spans="1:13" s="5" customFormat="1" ht="15" hidden="1" customHeight="1" outlineLevel="1">
      <c r="A236" s="33" t="s">
        <v>136</v>
      </c>
      <c r="B236" s="42"/>
      <c r="C236" s="107">
        <v>410288</v>
      </c>
      <c r="D236" s="67" t="s">
        <v>35</v>
      </c>
      <c r="E236" s="67"/>
      <c r="F236" s="85"/>
      <c r="G236" s="220"/>
      <c r="H236" s="245">
        <v>0</v>
      </c>
      <c r="I236" s="247">
        <v>0</v>
      </c>
    </row>
    <row r="237" spans="1:13" s="5" customFormat="1" ht="12.75" hidden="1" customHeight="1" outlineLevel="1">
      <c r="A237" s="50" t="s">
        <v>2</v>
      </c>
      <c r="B237" s="42" t="s">
        <v>165</v>
      </c>
      <c r="C237" s="130">
        <v>410299</v>
      </c>
      <c r="D237" s="11" t="s">
        <v>42</v>
      </c>
      <c r="E237" s="14"/>
      <c r="F237" s="50"/>
      <c r="G237" s="214">
        <f>SUM(G233:G234)</f>
        <v>30000</v>
      </c>
      <c r="H237" s="242">
        <f>SUM(H233:H234)</f>
        <v>27000</v>
      </c>
      <c r="I237" s="243">
        <f t="shared" ref="I237" si="46">SUM(I233:I236)</f>
        <v>20468</v>
      </c>
    </row>
    <row r="238" spans="1:13" s="5" customFormat="1" hidden="1" outlineLevel="1">
      <c r="A238" s="50"/>
      <c r="B238" s="42"/>
      <c r="C238" s="107"/>
      <c r="D238" s="11"/>
      <c r="E238" s="14"/>
      <c r="F238" s="50"/>
      <c r="G238" s="223"/>
      <c r="H238" s="223"/>
      <c r="I238" s="223"/>
    </row>
    <row r="239" spans="1:13" s="5" customFormat="1" hidden="1" outlineLevel="1">
      <c r="A239" s="50" t="s">
        <v>2</v>
      </c>
      <c r="B239" s="44">
        <v>7199</v>
      </c>
      <c r="C239" s="130">
        <v>419999</v>
      </c>
      <c r="D239" s="11" t="s">
        <v>169</v>
      </c>
      <c r="E239" s="14"/>
      <c r="F239" s="50"/>
      <c r="G239" s="214">
        <f>G230+G237</f>
        <v>156000</v>
      </c>
      <c r="H239" s="242">
        <f>H230+H237</f>
        <v>96000</v>
      </c>
      <c r="I239" s="243">
        <f>I230+I237</f>
        <v>164164</v>
      </c>
    </row>
    <row r="240" spans="1:13" hidden="1" outlineLevel="1">
      <c r="B240" s="41"/>
      <c r="C240" s="107"/>
      <c r="E240" s="14"/>
      <c r="F240" s="50"/>
      <c r="G240" s="215"/>
      <c r="H240" s="215"/>
      <c r="I240" s="215"/>
      <c r="J240" s="5"/>
      <c r="K240" s="5"/>
      <c r="L240" s="5"/>
      <c r="M240" s="5"/>
    </row>
    <row r="241" spans="1:13" collapsed="1">
      <c r="A241" s="33" t="s">
        <v>0</v>
      </c>
      <c r="B241" s="41"/>
      <c r="C241" s="130">
        <v>500000</v>
      </c>
      <c r="D241" s="34" t="s">
        <v>133</v>
      </c>
      <c r="E241" s="34"/>
      <c r="F241" s="179"/>
      <c r="G241" s="226">
        <f t="shared" ref="G241:I241" si="47">G242+G265+G307</f>
        <v>585000</v>
      </c>
      <c r="H241" s="244">
        <f t="shared" si="47"/>
        <v>1073623.8</v>
      </c>
      <c r="I241" s="246">
        <f t="shared" si="47"/>
        <v>958050</v>
      </c>
      <c r="J241" s="5"/>
      <c r="K241" s="91"/>
      <c r="L241" s="5"/>
      <c r="M241" s="5"/>
    </row>
    <row r="242" spans="1:13" hidden="1" outlineLevel="1" collapsed="1">
      <c r="A242" s="33" t="s">
        <v>0</v>
      </c>
      <c r="B242" s="41"/>
      <c r="C242" s="130">
        <v>519999</v>
      </c>
      <c r="D242" s="65" t="s">
        <v>72</v>
      </c>
      <c r="E242" s="65"/>
      <c r="F242" s="180"/>
      <c r="G242" s="227">
        <f>G244+G261</f>
        <v>585000</v>
      </c>
      <c r="H242" s="244">
        <f t="shared" ref="H242:I242" si="48">H256+H261</f>
        <v>639800</v>
      </c>
      <c r="I242" s="246">
        <f t="shared" si="48"/>
        <v>602765</v>
      </c>
    </row>
    <row r="243" spans="1:13" s="5" customFormat="1" hidden="1" outlineLevel="2">
      <c r="A243" s="50"/>
      <c r="B243" s="41"/>
      <c r="C243" s="107"/>
      <c r="D243" s="11"/>
      <c r="E243" s="14"/>
      <c r="F243" s="50"/>
      <c r="G243" s="215"/>
      <c r="H243" s="244"/>
      <c r="I243" s="215"/>
      <c r="J243" s="3"/>
      <c r="K243" s="3"/>
      <c r="L243" s="3"/>
    </row>
    <row r="244" spans="1:13" hidden="1" outlineLevel="2">
      <c r="A244" s="33" t="s">
        <v>0</v>
      </c>
      <c r="B244" s="41"/>
      <c r="C244" s="130">
        <v>510100</v>
      </c>
      <c r="D244" s="198" t="s">
        <v>143</v>
      </c>
      <c r="E244" s="58" t="s">
        <v>62</v>
      </c>
      <c r="F244" s="181"/>
      <c r="G244" s="228">
        <v>585000</v>
      </c>
      <c r="H244" s="171"/>
      <c r="I244" s="170"/>
    </row>
    <row r="245" spans="1:13" hidden="1" outlineLevel="2">
      <c r="A245" s="33" t="s">
        <v>136</v>
      </c>
      <c r="B245" s="41">
        <v>5200</v>
      </c>
      <c r="C245" s="107">
        <v>510101</v>
      </c>
      <c r="D245" s="14" t="s">
        <v>89</v>
      </c>
      <c r="E245" s="14"/>
      <c r="F245" s="50"/>
      <c r="G245" s="221">
        <v>327000</v>
      </c>
      <c r="H245" s="244">
        <v>356000</v>
      </c>
      <c r="I245" s="246">
        <v>349564</v>
      </c>
    </row>
    <row r="246" spans="1:13" hidden="1" outlineLevel="2">
      <c r="A246" s="33" t="s">
        <v>136</v>
      </c>
      <c r="B246" s="44">
        <v>5202</v>
      </c>
      <c r="C246" s="133">
        <v>510102</v>
      </c>
      <c r="D246" s="67" t="s">
        <v>131</v>
      </c>
      <c r="E246" s="14"/>
      <c r="F246" s="182"/>
      <c r="G246" s="226">
        <v>79000</v>
      </c>
      <c r="H246" s="171">
        <v>79000</v>
      </c>
      <c r="I246" s="255">
        <v>79000</v>
      </c>
    </row>
    <row r="247" spans="1:13" hidden="1" outlineLevel="2">
      <c r="A247" s="33" t="s">
        <v>136</v>
      </c>
      <c r="B247" s="41">
        <v>5205</v>
      </c>
      <c r="C247" s="107">
        <v>510103</v>
      </c>
      <c r="D247" s="67" t="s">
        <v>112</v>
      </c>
      <c r="E247" s="14"/>
      <c r="F247" s="50"/>
      <c r="G247" s="221">
        <v>35800</v>
      </c>
      <c r="H247" s="244">
        <v>35000</v>
      </c>
      <c r="I247" s="246">
        <v>5357</v>
      </c>
    </row>
    <row r="248" spans="1:13" hidden="1" outlineLevel="2">
      <c r="A248" s="33" t="s">
        <v>136</v>
      </c>
      <c r="B248" s="41">
        <v>5210</v>
      </c>
      <c r="C248" s="107">
        <v>510104</v>
      </c>
      <c r="D248" s="67" t="s">
        <v>189</v>
      </c>
      <c r="E248" s="14"/>
      <c r="F248" s="50"/>
      <c r="G248" s="221">
        <v>1200</v>
      </c>
      <c r="H248" s="244">
        <v>1200</v>
      </c>
      <c r="I248" s="246">
        <v>-488</v>
      </c>
    </row>
    <row r="249" spans="1:13" hidden="1" outlineLevel="2">
      <c r="A249" s="33" t="s">
        <v>136</v>
      </c>
      <c r="B249" s="44">
        <v>5212</v>
      </c>
      <c r="C249" s="107">
        <v>510105</v>
      </c>
      <c r="D249" s="67" t="s">
        <v>140</v>
      </c>
      <c r="E249" s="14"/>
      <c r="F249" s="107" t="s">
        <v>327</v>
      </c>
      <c r="G249" s="221">
        <v>5000</v>
      </c>
      <c r="H249" s="244">
        <v>5000</v>
      </c>
      <c r="I249" s="246">
        <v>20624</v>
      </c>
    </row>
    <row r="250" spans="1:13" hidden="1" outlineLevel="2">
      <c r="A250" s="33" t="s">
        <v>136</v>
      </c>
      <c r="B250" s="44">
        <v>5216</v>
      </c>
      <c r="C250" s="107">
        <v>510106</v>
      </c>
      <c r="D250" s="67" t="s">
        <v>113</v>
      </c>
      <c r="E250" s="14"/>
      <c r="F250" s="107"/>
      <c r="G250" s="221">
        <v>16000</v>
      </c>
      <c r="H250" s="244">
        <v>13800</v>
      </c>
      <c r="I250" s="246">
        <v>4757</v>
      </c>
    </row>
    <row r="251" spans="1:13" hidden="1" outlineLevel="2">
      <c r="A251" s="33" t="s">
        <v>136</v>
      </c>
      <c r="B251" s="41">
        <v>5218</v>
      </c>
      <c r="C251" s="107">
        <v>510107</v>
      </c>
      <c r="D251" s="67" t="s">
        <v>114</v>
      </c>
      <c r="E251" s="14"/>
      <c r="F251" s="50"/>
      <c r="G251" s="221">
        <v>5000</v>
      </c>
      <c r="H251" s="244">
        <v>5000</v>
      </c>
      <c r="I251" s="246">
        <v>2550</v>
      </c>
    </row>
    <row r="252" spans="1:13" hidden="1" outlineLevel="2">
      <c r="A252" s="33" t="s">
        <v>136</v>
      </c>
      <c r="B252" s="41">
        <v>5220</v>
      </c>
      <c r="C252" s="107">
        <v>510108</v>
      </c>
      <c r="D252" s="67" t="s">
        <v>116</v>
      </c>
      <c r="E252" s="14"/>
      <c r="F252" s="50"/>
      <c r="G252" s="221">
        <v>90000</v>
      </c>
      <c r="H252" s="244">
        <v>0</v>
      </c>
      <c r="I252" s="246">
        <v>0</v>
      </c>
    </row>
    <row r="253" spans="1:13" hidden="1" outlineLevel="2">
      <c r="A253" s="33" t="s">
        <v>136</v>
      </c>
      <c r="B253" s="41">
        <v>5221</v>
      </c>
      <c r="C253" s="107">
        <v>510109</v>
      </c>
      <c r="D253" s="199" t="s">
        <v>117</v>
      </c>
      <c r="E253" s="54"/>
      <c r="F253" s="138"/>
      <c r="G253" s="229">
        <v>80000</v>
      </c>
      <c r="H253" s="250">
        <v>0</v>
      </c>
      <c r="I253" s="265">
        <v>2794</v>
      </c>
    </row>
    <row r="254" spans="1:13" hidden="1" outlineLevel="2">
      <c r="A254" s="33" t="s">
        <v>136</v>
      </c>
      <c r="B254" s="41">
        <v>5224</v>
      </c>
      <c r="C254" s="107">
        <v>510110</v>
      </c>
      <c r="D254" s="199" t="s">
        <v>115</v>
      </c>
      <c r="E254" s="54"/>
      <c r="F254" s="140"/>
      <c r="G254" s="229">
        <v>15000</v>
      </c>
      <c r="H254" s="250">
        <v>5800</v>
      </c>
      <c r="I254" s="265">
        <v>3607</v>
      </c>
    </row>
    <row r="255" spans="1:13" hidden="1" outlineLevel="2">
      <c r="A255" s="33" t="s">
        <v>136</v>
      </c>
      <c r="B255" s="44">
        <v>5228</v>
      </c>
      <c r="C255" s="107">
        <v>510111</v>
      </c>
      <c r="D255" s="199" t="s">
        <v>118</v>
      </c>
      <c r="E255" s="54"/>
      <c r="F255" s="140"/>
      <c r="G255" s="230">
        <v>10000</v>
      </c>
      <c r="H255" s="245">
        <v>4000</v>
      </c>
      <c r="I255" s="247">
        <v>0</v>
      </c>
    </row>
    <row r="256" spans="1:13" hidden="1" outlineLevel="2">
      <c r="A256" s="33" t="s">
        <v>2</v>
      </c>
      <c r="B256" s="44">
        <v>5229</v>
      </c>
      <c r="C256" s="130">
        <v>510199</v>
      </c>
      <c r="D256" s="200" t="s">
        <v>141</v>
      </c>
      <c r="E256" s="54"/>
      <c r="F256" s="138"/>
      <c r="G256" s="231">
        <f t="shared" ref="G256:I256" si="49">SUM(G245:G255)</f>
        <v>664000</v>
      </c>
      <c r="H256" s="250">
        <f t="shared" si="49"/>
        <v>504800</v>
      </c>
      <c r="I256" s="265">
        <f t="shared" si="49"/>
        <v>467765</v>
      </c>
    </row>
    <row r="257" spans="1:11" hidden="1" outlineLevel="2">
      <c r="B257" s="41"/>
      <c r="C257" s="107"/>
      <c r="D257" s="67"/>
      <c r="E257" s="14"/>
      <c r="F257" s="50"/>
      <c r="G257" s="215"/>
      <c r="H257" s="215"/>
      <c r="I257" s="215"/>
    </row>
    <row r="258" spans="1:11" hidden="1" outlineLevel="2">
      <c r="A258" s="33" t="s">
        <v>0</v>
      </c>
      <c r="B258" s="41"/>
      <c r="C258" s="130">
        <v>510200</v>
      </c>
      <c r="D258" s="201" t="s">
        <v>142</v>
      </c>
      <c r="E258" s="53" t="s">
        <v>62</v>
      </c>
      <c r="F258" s="183"/>
      <c r="G258" s="215"/>
      <c r="H258" s="215"/>
      <c r="I258" s="215"/>
    </row>
    <row r="259" spans="1:11" hidden="1" outlineLevel="2">
      <c r="A259" s="33" t="s">
        <v>136</v>
      </c>
      <c r="B259" s="41">
        <v>30020</v>
      </c>
      <c r="C259" s="107">
        <v>510201</v>
      </c>
      <c r="D259" s="14" t="s">
        <v>156</v>
      </c>
      <c r="E259" s="14"/>
      <c r="F259" s="73"/>
      <c r="G259" s="219">
        <v>0</v>
      </c>
      <c r="H259" s="244">
        <v>135000</v>
      </c>
      <c r="I259" s="246">
        <v>69081</v>
      </c>
    </row>
    <row r="260" spans="1:11" hidden="1" outlineLevel="2">
      <c r="A260" s="33" t="s">
        <v>136</v>
      </c>
      <c r="B260" s="41">
        <v>20001</v>
      </c>
      <c r="C260" s="107">
        <v>510202</v>
      </c>
      <c r="D260" s="12" t="s">
        <v>132</v>
      </c>
      <c r="E260" s="14"/>
      <c r="G260" s="219">
        <v>0</v>
      </c>
      <c r="H260" s="245">
        <v>0</v>
      </c>
      <c r="I260" s="247">
        <v>65919</v>
      </c>
    </row>
    <row r="261" spans="1:11" hidden="1" outlineLevel="2">
      <c r="A261" s="33" t="s">
        <v>2</v>
      </c>
      <c r="B261" s="44">
        <v>30029</v>
      </c>
      <c r="C261" s="130">
        <v>510299</v>
      </c>
      <c r="D261" s="16" t="s">
        <v>155</v>
      </c>
      <c r="E261" s="14"/>
      <c r="F261" s="73"/>
      <c r="G261" s="219">
        <v>0</v>
      </c>
      <c r="H261" s="242">
        <f t="shared" ref="H261:I261" si="50">SUM(H258:H260)</f>
        <v>135000</v>
      </c>
      <c r="I261" s="243">
        <f t="shared" si="50"/>
        <v>135000</v>
      </c>
    </row>
    <row r="262" spans="1:11" hidden="1" outlineLevel="2">
      <c r="B262" s="44"/>
      <c r="C262" s="130"/>
      <c r="E262" s="14"/>
      <c r="F262" s="73"/>
      <c r="G262" s="215"/>
      <c r="H262" s="223"/>
      <c r="I262" s="223"/>
    </row>
    <row r="263" spans="1:11" hidden="1" outlineLevel="2">
      <c r="A263" s="33" t="s">
        <v>2</v>
      </c>
      <c r="B263" s="41"/>
      <c r="C263" s="130">
        <v>519999</v>
      </c>
      <c r="D263" s="16" t="s">
        <v>272</v>
      </c>
      <c r="E263" s="14"/>
      <c r="G263" s="214"/>
      <c r="H263" s="242">
        <f t="shared" ref="H263:I263" si="51">H256+H261</f>
        <v>639800</v>
      </c>
      <c r="I263" s="243">
        <f t="shared" si="51"/>
        <v>602765</v>
      </c>
    </row>
    <row r="264" spans="1:11" hidden="1" outlineLevel="2">
      <c r="B264" s="41"/>
      <c r="C264" s="107"/>
      <c r="E264" s="14"/>
      <c r="G264" s="215"/>
      <c r="H264" s="215"/>
      <c r="I264" s="215"/>
    </row>
    <row r="265" spans="1:11" hidden="1" outlineLevel="1" collapsed="1">
      <c r="A265" s="33" t="s">
        <v>0</v>
      </c>
      <c r="B265" s="42"/>
      <c r="C265" s="130">
        <v>520000</v>
      </c>
      <c r="D265" s="202" t="s">
        <v>187</v>
      </c>
      <c r="E265" s="64" t="s">
        <v>8</v>
      </c>
      <c r="F265" s="184"/>
      <c r="G265" s="219">
        <v>0</v>
      </c>
      <c r="H265" s="244">
        <f t="shared" ref="H265:I265" si="52">H304</f>
        <v>420898.8</v>
      </c>
      <c r="I265" s="246">
        <f t="shared" si="52"/>
        <v>341175</v>
      </c>
    </row>
    <row r="266" spans="1:11" s="5" customFormat="1" hidden="1" outlineLevel="2">
      <c r="A266" s="50"/>
      <c r="B266" s="42"/>
      <c r="C266" s="130"/>
      <c r="D266" s="14"/>
      <c r="E266" s="11"/>
      <c r="F266" s="52"/>
      <c r="G266" s="214"/>
      <c r="H266" s="215"/>
      <c r="I266" s="215"/>
      <c r="J266" s="3"/>
      <c r="K266" s="3"/>
    </row>
    <row r="267" spans="1:11" s="5" customFormat="1" hidden="1" outlineLevel="2">
      <c r="A267" s="50" t="s">
        <v>0</v>
      </c>
      <c r="B267" s="42"/>
      <c r="C267" s="130">
        <v>520100</v>
      </c>
      <c r="D267" s="203" t="s">
        <v>274</v>
      </c>
      <c r="E267" s="11"/>
      <c r="F267" s="52"/>
      <c r="G267" s="214"/>
      <c r="H267" s="215"/>
      <c r="I267" s="215"/>
      <c r="J267" s="3"/>
      <c r="K267" s="3"/>
    </row>
    <row r="268" spans="1:11" s="5" customFormat="1" hidden="1" outlineLevel="2">
      <c r="A268" s="50" t="s">
        <v>136</v>
      </c>
      <c r="B268" s="44">
        <v>51101</v>
      </c>
      <c r="C268" s="107">
        <v>520101</v>
      </c>
      <c r="D268" s="204" t="s">
        <v>91</v>
      </c>
      <c r="E268" s="11"/>
      <c r="F268" s="52"/>
      <c r="G268" s="219">
        <v>7425</v>
      </c>
      <c r="H268" s="244">
        <v>15075</v>
      </c>
      <c r="I268" s="213"/>
    </row>
    <row r="269" spans="1:11" s="5" customFormat="1" hidden="1" outlineLevel="2">
      <c r="A269" s="50" t="s">
        <v>136</v>
      </c>
      <c r="B269" s="44">
        <v>51102</v>
      </c>
      <c r="C269" s="107">
        <v>520102</v>
      </c>
      <c r="D269" s="204" t="s">
        <v>92</v>
      </c>
      <c r="E269" s="11"/>
      <c r="F269" s="52"/>
      <c r="G269" s="219">
        <v>7425</v>
      </c>
      <c r="H269" s="244">
        <v>15075</v>
      </c>
      <c r="I269" s="213"/>
    </row>
    <row r="270" spans="1:11" s="5" customFormat="1" hidden="1" outlineLevel="2">
      <c r="A270" s="50" t="s">
        <v>136</v>
      </c>
      <c r="B270" s="44">
        <v>51103</v>
      </c>
      <c r="C270" s="107">
        <v>520103</v>
      </c>
      <c r="D270" s="204" t="s">
        <v>290</v>
      </c>
      <c r="E270" s="11"/>
      <c r="F270" s="52"/>
      <c r="G270" s="219">
        <v>19254</v>
      </c>
      <c r="H270" s="244">
        <v>39090</v>
      </c>
      <c r="I270" s="213"/>
    </row>
    <row r="271" spans="1:11" s="5" customFormat="1" hidden="1" outlineLevel="2">
      <c r="A271" s="50" t="s">
        <v>136</v>
      </c>
      <c r="B271" s="44">
        <v>51105</v>
      </c>
      <c r="C271" s="107">
        <v>520104</v>
      </c>
      <c r="D271" s="204" t="s">
        <v>289</v>
      </c>
      <c r="E271" s="11"/>
      <c r="F271" s="52"/>
      <c r="G271" s="219">
        <v>10502</v>
      </c>
      <c r="H271" s="244">
        <v>21322</v>
      </c>
      <c r="I271" s="213"/>
    </row>
    <row r="272" spans="1:11" s="5" customFormat="1" hidden="1" outlineLevel="2">
      <c r="A272" s="50" t="s">
        <v>136</v>
      </c>
      <c r="B272" s="44">
        <v>51108</v>
      </c>
      <c r="C272" s="107">
        <v>520105</v>
      </c>
      <c r="D272" s="155" t="s">
        <v>291</v>
      </c>
      <c r="E272" s="11"/>
      <c r="F272" s="52"/>
      <c r="G272" s="219">
        <v>6336</v>
      </c>
      <c r="H272" s="244">
        <v>12864</v>
      </c>
      <c r="I272" s="215"/>
    </row>
    <row r="273" spans="1:12" s="5" customFormat="1" hidden="1" outlineLevel="2">
      <c r="A273" s="50" t="s">
        <v>136</v>
      </c>
      <c r="B273" s="44">
        <v>51113</v>
      </c>
      <c r="C273" s="107">
        <v>520106</v>
      </c>
      <c r="D273" s="205" t="s">
        <v>93</v>
      </c>
      <c r="E273" s="47"/>
      <c r="F273" s="185"/>
      <c r="G273" s="232">
        <v>2640</v>
      </c>
      <c r="H273" s="250">
        <v>5360</v>
      </c>
      <c r="I273" s="187"/>
    </row>
    <row r="274" spans="1:12" s="5" customFormat="1" hidden="1" outlineLevel="2">
      <c r="A274" s="50" t="s">
        <v>136</v>
      </c>
      <c r="B274" s="44"/>
      <c r="C274" s="133">
        <v>520119</v>
      </c>
      <c r="D274" s="205" t="s">
        <v>296</v>
      </c>
      <c r="E274" s="47"/>
      <c r="F274" s="186"/>
      <c r="G274" s="232">
        <v>0</v>
      </c>
      <c r="H274" s="250">
        <v>0</v>
      </c>
      <c r="I274" s="187"/>
    </row>
    <row r="275" spans="1:12" s="5" customFormat="1" hidden="1" outlineLevel="2">
      <c r="A275" s="50" t="s">
        <v>2</v>
      </c>
      <c r="B275" s="44">
        <v>51119</v>
      </c>
      <c r="C275" s="107">
        <v>520199</v>
      </c>
      <c r="D275" s="206" t="s">
        <v>135</v>
      </c>
      <c r="E275" s="47"/>
      <c r="F275" s="185"/>
      <c r="G275" s="233">
        <f>SUM(G268:G274)</f>
        <v>53582</v>
      </c>
      <c r="H275" s="251">
        <f>SUM(H268:H274)</f>
        <v>108786</v>
      </c>
      <c r="I275" s="266">
        <v>116669</v>
      </c>
    </row>
    <row r="276" spans="1:12" s="5" customFormat="1" hidden="1" outlineLevel="2">
      <c r="A276" s="50"/>
      <c r="B276" s="42"/>
      <c r="C276" s="134"/>
      <c r="D276" s="207"/>
      <c r="E276" s="47"/>
      <c r="F276" s="185"/>
      <c r="G276" s="139"/>
      <c r="H276" s="252"/>
      <c r="I276" s="252"/>
    </row>
    <row r="277" spans="1:12" s="5" customFormat="1" hidden="1" outlineLevel="2">
      <c r="A277" s="50" t="s">
        <v>0</v>
      </c>
      <c r="B277" s="44"/>
      <c r="C277" s="130">
        <v>520200</v>
      </c>
      <c r="D277" s="208" t="s">
        <v>273</v>
      </c>
      <c r="E277" s="47"/>
      <c r="F277" s="185"/>
      <c r="G277" s="234"/>
      <c r="H277" s="250"/>
      <c r="I277" s="139"/>
      <c r="L277" s="3"/>
    </row>
    <row r="278" spans="1:12" s="5" customFormat="1" hidden="1" outlineLevel="2">
      <c r="A278" s="50" t="s">
        <v>136</v>
      </c>
      <c r="B278" s="44">
        <v>51201</v>
      </c>
      <c r="C278" s="107">
        <v>520201</v>
      </c>
      <c r="D278" s="205" t="s">
        <v>178</v>
      </c>
      <c r="E278" s="47"/>
      <c r="F278" s="75"/>
      <c r="G278" s="232">
        <v>26695</v>
      </c>
      <c r="H278" s="250">
        <v>54200</v>
      </c>
      <c r="I278" s="139"/>
      <c r="J278" s="3"/>
      <c r="K278" s="3"/>
      <c r="L278" s="3"/>
    </row>
    <row r="279" spans="1:12" s="5" customFormat="1" hidden="1" outlineLevel="2">
      <c r="A279" s="50" t="s">
        <v>136</v>
      </c>
      <c r="B279" s="44">
        <v>51202</v>
      </c>
      <c r="C279" s="107">
        <v>520202</v>
      </c>
      <c r="D279" s="205" t="s">
        <v>177</v>
      </c>
      <c r="E279" s="47"/>
      <c r="F279" s="75"/>
      <c r="G279" s="232"/>
      <c r="H279" s="250"/>
      <c r="I279" s="139"/>
      <c r="J279" s="3"/>
      <c r="K279" s="3"/>
      <c r="L279" s="3"/>
    </row>
    <row r="280" spans="1:12" s="5" customFormat="1" hidden="1" outlineLevel="2">
      <c r="A280" s="50" t="s">
        <v>136</v>
      </c>
      <c r="B280" s="44"/>
      <c r="C280" s="133">
        <v>520203</v>
      </c>
      <c r="D280" s="205" t="s">
        <v>292</v>
      </c>
      <c r="E280" s="47"/>
      <c r="F280" s="186"/>
      <c r="G280" s="232">
        <v>0</v>
      </c>
      <c r="H280" s="250">
        <v>0</v>
      </c>
      <c r="I280" s="139"/>
      <c r="J280" s="3"/>
      <c r="K280" s="3"/>
      <c r="L280" s="3"/>
    </row>
    <row r="281" spans="1:12" s="5" customFormat="1" hidden="1" outlineLevel="2">
      <c r="A281" s="50" t="s">
        <v>2</v>
      </c>
      <c r="B281" s="44"/>
      <c r="C281" s="130">
        <v>520299</v>
      </c>
      <c r="D281" s="206" t="s">
        <v>188</v>
      </c>
      <c r="E281" s="47"/>
      <c r="F281" s="75"/>
      <c r="G281" s="234">
        <f>SUM(G278:G279)</f>
        <v>26695</v>
      </c>
      <c r="H281" s="251">
        <f>SUM(H278:H279)</f>
        <v>54200</v>
      </c>
      <c r="I281" s="266">
        <v>44508</v>
      </c>
      <c r="J281" s="3"/>
      <c r="K281" s="3"/>
      <c r="L281" s="3"/>
    </row>
    <row r="282" spans="1:12" s="5" customFormat="1" ht="15.75" hidden="1" customHeight="1" outlineLevel="2">
      <c r="A282" s="50"/>
      <c r="B282" s="42"/>
      <c r="C282" s="134"/>
      <c r="D282" s="207"/>
      <c r="E282" s="47"/>
      <c r="F282" s="185"/>
      <c r="G282" s="139"/>
      <c r="H282" s="139"/>
      <c r="I282" s="139"/>
      <c r="J282" s="3"/>
      <c r="K282" s="3"/>
      <c r="L282" s="3"/>
    </row>
    <row r="283" spans="1:12" s="5" customFormat="1" ht="15" hidden="1" customHeight="1" outlineLevel="2">
      <c r="A283" s="50" t="s">
        <v>0</v>
      </c>
      <c r="B283" s="44"/>
      <c r="C283" s="130">
        <v>520300</v>
      </c>
      <c r="D283" s="208" t="s">
        <v>293</v>
      </c>
      <c r="E283" s="47"/>
      <c r="F283" s="185"/>
      <c r="G283" s="139"/>
      <c r="H283" s="139"/>
      <c r="I283" s="139"/>
    </row>
    <row r="284" spans="1:12" s="5" customFormat="1" ht="14.4" hidden="1" outlineLevel="2">
      <c r="A284" s="50" t="s">
        <v>136</v>
      </c>
      <c r="B284" s="44">
        <v>51301</v>
      </c>
      <c r="C284" s="107">
        <v>520301</v>
      </c>
      <c r="D284" s="205" t="s">
        <v>196</v>
      </c>
      <c r="E284" s="39"/>
      <c r="F284" s="75"/>
      <c r="G284" s="232">
        <v>41838</v>
      </c>
      <c r="H284" s="250">
        <v>84943</v>
      </c>
      <c r="I284" s="139"/>
    </row>
    <row r="285" spans="1:12" s="5" customFormat="1" ht="15" hidden="1" customHeight="1" outlineLevel="2">
      <c r="A285" s="50" t="s">
        <v>136</v>
      </c>
      <c r="B285" s="44">
        <v>51302</v>
      </c>
      <c r="C285" s="107">
        <v>520302</v>
      </c>
      <c r="D285" s="205" t="s">
        <v>197</v>
      </c>
      <c r="E285" s="39"/>
      <c r="F285" s="75"/>
      <c r="G285" s="232"/>
      <c r="H285" s="250"/>
      <c r="I285" s="139"/>
    </row>
    <row r="286" spans="1:12" s="5" customFormat="1" ht="14.4" hidden="1" outlineLevel="2">
      <c r="A286" s="50" t="s">
        <v>136</v>
      </c>
      <c r="B286" s="44">
        <v>51303</v>
      </c>
      <c r="C286" s="107">
        <v>520303</v>
      </c>
      <c r="D286" s="205" t="s">
        <v>286</v>
      </c>
      <c r="E286" s="39"/>
      <c r="F286" s="139"/>
      <c r="G286" s="232">
        <v>7673</v>
      </c>
      <c r="H286" s="250">
        <v>15577</v>
      </c>
      <c r="I286" s="139"/>
    </row>
    <row r="287" spans="1:12" s="5" customFormat="1" ht="14.4" hidden="1" outlineLevel="2">
      <c r="A287" s="50" t="s">
        <v>136</v>
      </c>
      <c r="B287" s="44">
        <v>51304</v>
      </c>
      <c r="C287" s="107">
        <v>520304</v>
      </c>
      <c r="D287" s="205" t="s">
        <v>287</v>
      </c>
      <c r="E287" s="39"/>
      <c r="F287" s="187"/>
      <c r="G287" s="232">
        <v>3886</v>
      </c>
      <c r="H287" s="250">
        <v>7889</v>
      </c>
      <c r="I287" s="139"/>
    </row>
    <row r="288" spans="1:12" s="5" customFormat="1" ht="14.4" hidden="1" outlineLevel="2">
      <c r="A288" s="50" t="s">
        <v>136</v>
      </c>
      <c r="B288" s="44">
        <v>51305</v>
      </c>
      <c r="C288" s="107">
        <v>520305</v>
      </c>
      <c r="D288" s="205" t="s">
        <v>94</v>
      </c>
      <c r="E288" s="39"/>
      <c r="F288" s="187"/>
      <c r="G288" s="232">
        <v>2970</v>
      </c>
      <c r="H288" s="250">
        <v>6030</v>
      </c>
      <c r="I288" s="139"/>
    </row>
    <row r="289" spans="1:11" s="5" customFormat="1" ht="14.4" hidden="1" outlineLevel="2">
      <c r="A289" s="50" t="s">
        <v>136</v>
      </c>
      <c r="B289" s="44">
        <v>51311</v>
      </c>
      <c r="C289" s="107">
        <v>520311</v>
      </c>
      <c r="D289" s="205" t="s">
        <v>97</v>
      </c>
      <c r="E289" s="39"/>
      <c r="F289" s="577" t="s">
        <v>307</v>
      </c>
      <c r="G289" s="232">
        <v>3630</v>
      </c>
      <c r="H289" s="250">
        <v>7370</v>
      </c>
      <c r="I289" s="139"/>
    </row>
    <row r="290" spans="1:11" s="5" customFormat="1" ht="14.4" hidden="1" outlineLevel="2">
      <c r="A290" s="50" t="s">
        <v>136</v>
      </c>
      <c r="B290" s="44">
        <v>51312</v>
      </c>
      <c r="C290" s="107">
        <v>520312</v>
      </c>
      <c r="D290" s="205" t="s">
        <v>95</v>
      </c>
      <c r="E290" s="39"/>
      <c r="F290" s="578"/>
      <c r="G290" s="232">
        <v>10395</v>
      </c>
      <c r="H290" s="250">
        <v>21105</v>
      </c>
      <c r="I290" s="139"/>
    </row>
    <row r="291" spans="1:11" s="5" customFormat="1" ht="14.4" hidden="1" outlineLevel="2">
      <c r="A291" s="50" t="s">
        <v>136</v>
      </c>
      <c r="B291" s="44">
        <v>51313</v>
      </c>
      <c r="C291" s="107">
        <v>520313</v>
      </c>
      <c r="D291" s="205" t="s">
        <v>96</v>
      </c>
      <c r="E291" s="39"/>
      <c r="F291" s="579"/>
      <c r="G291" s="232">
        <v>10230</v>
      </c>
      <c r="H291" s="250">
        <v>20770</v>
      </c>
      <c r="I291" s="139"/>
    </row>
    <row r="292" spans="1:11" s="5" customFormat="1" ht="14.4" hidden="1" outlineLevel="2">
      <c r="A292" s="50" t="s">
        <v>136</v>
      </c>
      <c r="B292" s="44">
        <v>51322</v>
      </c>
      <c r="C292" s="107">
        <v>520322</v>
      </c>
      <c r="D292" s="205" t="s">
        <v>98</v>
      </c>
      <c r="E292" s="39"/>
      <c r="F292" s="86"/>
      <c r="G292" s="232">
        <v>24420</v>
      </c>
      <c r="H292" s="250">
        <v>49580</v>
      </c>
      <c r="I292" s="139"/>
    </row>
    <row r="293" spans="1:11" s="5" customFormat="1" ht="14.4" hidden="1" outlineLevel="2">
      <c r="A293" s="50" t="s">
        <v>136</v>
      </c>
      <c r="B293" s="44">
        <v>51324</v>
      </c>
      <c r="C293" s="107">
        <v>520324</v>
      </c>
      <c r="D293" s="205" t="s">
        <v>99</v>
      </c>
      <c r="E293" s="39"/>
      <c r="F293" s="86"/>
      <c r="G293" s="232">
        <v>4950</v>
      </c>
      <c r="H293" s="250">
        <v>10050</v>
      </c>
      <c r="I293" s="139"/>
    </row>
    <row r="294" spans="1:11" s="5" customFormat="1" ht="14.4" hidden="1" outlineLevel="2">
      <c r="A294" s="50" t="s">
        <v>136</v>
      </c>
      <c r="B294" s="44">
        <v>51326</v>
      </c>
      <c r="C294" s="107">
        <v>520326</v>
      </c>
      <c r="D294" s="205" t="s">
        <v>103</v>
      </c>
      <c r="E294" s="39"/>
      <c r="F294" s="86" t="s">
        <v>308</v>
      </c>
      <c r="G294" s="232">
        <v>3300</v>
      </c>
      <c r="H294" s="250">
        <v>6700</v>
      </c>
      <c r="I294" s="139"/>
    </row>
    <row r="295" spans="1:11" s="5" customFormat="1" ht="14.4" hidden="1" outlineLevel="2">
      <c r="A295" s="50" t="s">
        <v>136</v>
      </c>
      <c r="B295" s="44"/>
      <c r="C295" s="133">
        <v>520338</v>
      </c>
      <c r="D295" s="205" t="s">
        <v>302</v>
      </c>
      <c r="E295" s="39"/>
      <c r="F295" s="186"/>
      <c r="G295" s="232">
        <v>0</v>
      </c>
      <c r="H295" s="250">
        <v>0</v>
      </c>
      <c r="I295" s="139"/>
    </row>
    <row r="296" spans="1:11" s="5" customFormat="1" ht="14.4" hidden="1" outlineLevel="2">
      <c r="A296" s="50" t="s">
        <v>2</v>
      </c>
      <c r="B296" s="44">
        <v>51339</v>
      </c>
      <c r="C296" s="130">
        <v>520399</v>
      </c>
      <c r="D296" s="206" t="s">
        <v>294</v>
      </c>
      <c r="E296" s="39"/>
      <c r="F296" s="86"/>
      <c r="G296" s="234">
        <f>SUM(G284:G295)</f>
        <v>113292</v>
      </c>
      <c r="H296" s="251">
        <f>SUM(H284:H295)</f>
        <v>230014</v>
      </c>
      <c r="I296" s="266">
        <v>136722</v>
      </c>
    </row>
    <row r="297" spans="1:11" s="5" customFormat="1" ht="14.4" hidden="1" outlineLevel="2">
      <c r="A297" s="50"/>
      <c r="B297" s="42"/>
      <c r="C297" s="134"/>
      <c r="D297" s="207"/>
      <c r="E297" s="39"/>
      <c r="F297" s="86"/>
      <c r="G297" s="139"/>
      <c r="H297" s="139"/>
      <c r="I297" s="139"/>
    </row>
    <row r="298" spans="1:11" s="5" customFormat="1" hidden="1" outlineLevel="2">
      <c r="A298" s="50" t="s">
        <v>0</v>
      </c>
      <c r="B298" s="44"/>
      <c r="C298" s="130">
        <v>520400</v>
      </c>
      <c r="D298" s="208" t="s">
        <v>275</v>
      </c>
      <c r="E298" s="47"/>
      <c r="F298" s="185"/>
      <c r="G298" s="139"/>
      <c r="H298" s="139"/>
      <c r="I298" s="139"/>
    </row>
    <row r="299" spans="1:11" s="5" customFormat="1" ht="14.4" hidden="1" outlineLevel="2">
      <c r="A299" s="50" t="s">
        <v>136</v>
      </c>
      <c r="B299" s="44">
        <v>51401</v>
      </c>
      <c r="C299" s="107">
        <v>520401</v>
      </c>
      <c r="D299" s="205" t="s">
        <v>284</v>
      </c>
      <c r="E299" s="47"/>
      <c r="F299" s="185"/>
      <c r="G299" s="232">
        <v>11484</v>
      </c>
      <c r="H299" s="250">
        <v>23316</v>
      </c>
      <c r="I299" s="139"/>
      <c r="J299" s="9"/>
    </row>
    <row r="300" spans="1:11" s="5" customFormat="1" ht="14.4" hidden="1" outlineLevel="2">
      <c r="A300" s="50" t="s">
        <v>136</v>
      </c>
      <c r="B300" s="44">
        <v>51403</v>
      </c>
      <c r="C300" s="107">
        <v>520403</v>
      </c>
      <c r="D300" s="205" t="s">
        <v>285</v>
      </c>
      <c r="E300" s="47"/>
      <c r="F300" s="185"/>
      <c r="G300" s="232">
        <v>277.2</v>
      </c>
      <c r="H300" s="250">
        <v>562.79999999999995</v>
      </c>
      <c r="I300" s="139"/>
      <c r="J300" s="9"/>
    </row>
    <row r="301" spans="1:11" s="5" customFormat="1" ht="14.4" hidden="1" outlineLevel="2">
      <c r="A301" s="50" t="s">
        <v>136</v>
      </c>
      <c r="B301" s="44">
        <v>51405</v>
      </c>
      <c r="C301" s="107">
        <v>520405</v>
      </c>
      <c r="D301" s="205" t="s">
        <v>288</v>
      </c>
      <c r="E301" s="47"/>
      <c r="F301" s="185"/>
      <c r="G301" s="232">
        <v>1980</v>
      </c>
      <c r="H301" s="250">
        <v>4020</v>
      </c>
      <c r="I301" s="139"/>
      <c r="J301" s="9"/>
    </row>
    <row r="302" spans="1:11" s="5" customFormat="1" hidden="1" outlineLevel="2">
      <c r="A302" s="50" t="s">
        <v>2</v>
      </c>
      <c r="B302" s="44">
        <v>51449</v>
      </c>
      <c r="C302" s="130">
        <v>520499</v>
      </c>
      <c r="D302" s="206" t="s">
        <v>137</v>
      </c>
      <c r="E302" s="47"/>
      <c r="F302" s="185"/>
      <c r="G302" s="234">
        <f>SUM(G299:G301)</f>
        <v>13741.2</v>
      </c>
      <c r="H302" s="251">
        <f>SUM(H299:H301)</f>
        <v>27898.799999999999</v>
      </c>
      <c r="I302" s="266">
        <v>43276</v>
      </c>
      <c r="J302" s="74"/>
    </row>
    <row r="303" spans="1:11" hidden="1" outlineLevel="2">
      <c r="B303" s="44"/>
      <c r="C303" s="50"/>
      <c r="D303" s="209"/>
      <c r="E303" s="4"/>
      <c r="F303" s="52"/>
      <c r="G303" s="219"/>
      <c r="H303" s="215"/>
      <c r="I303" s="215"/>
      <c r="J303" s="5"/>
      <c r="K303" s="5"/>
    </row>
    <row r="304" spans="1:11" hidden="1" outlineLevel="2">
      <c r="A304" s="33" t="s">
        <v>2</v>
      </c>
      <c r="B304" s="44">
        <v>51559</v>
      </c>
      <c r="C304" s="130">
        <v>520599</v>
      </c>
      <c r="D304" s="16" t="s">
        <v>138</v>
      </c>
      <c r="E304" s="4"/>
      <c r="F304" s="52"/>
      <c r="G304" s="214">
        <f>G275+G278+G296+G302</f>
        <v>207310.2</v>
      </c>
      <c r="H304" s="242">
        <f t="shared" ref="H304:I304" si="53">H275+H281+H296+H302</f>
        <v>420898.8</v>
      </c>
      <c r="I304" s="243">
        <f t="shared" si="53"/>
        <v>341175</v>
      </c>
      <c r="J304" s="6"/>
      <c r="K304" s="5"/>
    </row>
    <row r="305" spans="1:12" s="5" customFormat="1" ht="15" hidden="1" customHeight="1" outlineLevel="2">
      <c r="A305" s="50"/>
      <c r="B305" s="41"/>
      <c r="C305" s="130"/>
      <c r="D305" s="12"/>
      <c r="E305" s="11"/>
      <c r="F305" s="52"/>
      <c r="G305" s="223"/>
      <c r="H305" s="215"/>
      <c r="I305" s="215"/>
    </row>
    <row r="306" spans="1:12" hidden="1" outlineLevel="2">
      <c r="B306" s="41"/>
      <c r="C306" s="107"/>
      <c r="D306" s="16"/>
      <c r="G306" s="215"/>
      <c r="H306" s="215"/>
      <c r="I306" s="215"/>
    </row>
    <row r="307" spans="1:12" hidden="1" outlineLevel="1" collapsed="1">
      <c r="A307" s="55" t="s">
        <v>0</v>
      </c>
      <c r="B307" s="44"/>
      <c r="C307" s="130">
        <v>530000</v>
      </c>
      <c r="D307" s="62" t="s">
        <v>329</v>
      </c>
      <c r="E307" s="17" t="s">
        <v>61</v>
      </c>
      <c r="F307" s="163"/>
      <c r="G307" s="219">
        <v>0</v>
      </c>
      <c r="H307" s="171">
        <f>SUM(H308:H308)</f>
        <v>12925</v>
      </c>
      <c r="I307" s="255">
        <f>SUM(I308:I308)</f>
        <v>14110</v>
      </c>
    </row>
    <row r="308" spans="1:12" hidden="1" outlineLevel="2">
      <c r="A308" s="55" t="s">
        <v>136</v>
      </c>
      <c r="B308" s="44">
        <v>5135</v>
      </c>
      <c r="C308" s="127">
        <v>530001</v>
      </c>
      <c r="D308" s="12" t="s">
        <v>159</v>
      </c>
      <c r="E308" s="14" t="s">
        <v>61</v>
      </c>
      <c r="F308" s="50" t="s">
        <v>297</v>
      </c>
      <c r="G308" s="213"/>
      <c r="H308" s="244">
        <v>12925</v>
      </c>
      <c r="I308" s="246">
        <v>14110</v>
      </c>
      <c r="L308" s="5"/>
    </row>
    <row r="309" spans="1:12" hidden="1" outlineLevel="2">
      <c r="A309" s="55" t="s">
        <v>2</v>
      </c>
      <c r="B309" s="44">
        <v>5139</v>
      </c>
      <c r="C309" s="127">
        <v>530009</v>
      </c>
      <c r="D309" s="12" t="s">
        <v>179</v>
      </c>
      <c r="E309" s="14" t="s">
        <v>61</v>
      </c>
      <c r="H309" s="244">
        <f t="shared" ref="H309:I309" si="54">H308</f>
        <v>12925</v>
      </c>
      <c r="I309" s="246">
        <f t="shared" si="54"/>
        <v>14110</v>
      </c>
      <c r="L309" s="5"/>
    </row>
    <row r="310" spans="1:12" hidden="1" outlineLevel="2">
      <c r="A310" s="55"/>
      <c r="B310" s="44"/>
      <c r="E310" s="14"/>
      <c r="G310" s="213"/>
      <c r="H310" s="244"/>
      <c r="I310" s="213"/>
      <c r="L310" s="5"/>
    </row>
    <row r="311" spans="1:12">
      <c r="A311" s="50" t="s">
        <v>2</v>
      </c>
      <c r="B311" s="41"/>
      <c r="C311" s="135">
        <v>599998</v>
      </c>
      <c r="D311" s="193" t="s">
        <v>170</v>
      </c>
      <c r="E311" s="59"/>
      <c r="F311" s="188"/>
      <c r="G311" s="235">
        <f t="shared" ref="G311:I311" si="55">G46+G83+G115+G137+G173+G204+G217+G222+G241</f>
        <v>1935064</v>
      </c>
      <c r="H311" s="235">
        <f t="shared" si="55"/>
        <v>2868633.8</v>
      </c>
      <c r="I311" s="243">
        <f t="shared" si="55"/>
        <v>2793676</v>
      </c>
      <c r="L311" s="5"/>
    </row>
    <row r="312" spans="1:12" ht="8.1" customHeight="1">
      <c r="A312" s="78"/>
      <c r="B312" s="48"/>
      <c r="C312" s="136"/>
      <c r="D312" s="49"/>
      <c r="E312" s="49"/>
      <c r="F312" s="189"/>
      <c r="G312" s="236"/>
      <c r="H312" s="236"/>
      <c r="I312" s="236"/>
      <c r="L312" s="5"/>
    </row>
    <row r="313" spans="1:12" s="5" customFormat="1" ht="15.6">
      <c r="A313" s="50" t="s">
        <v>2</v>
      </c>
      <c r="B313" s="41"/>
      <c r="C313" s="130">
        <v>599999</v>
      </c>
      <c r="D313" s="210" t="s">
        <v>130</v>
      </c>
      <c r="E313" s="35"/>
      <c r="F313" s="190"/>
      <c r="G313" s="237">
        <f t="shared" ref="G313:I313" si="56">G4-G311</f>
        <v>20928</v>
      </c>
      <c r="H313" s="237">
        <f t="shared" si="56"/>
        <v>131325.20000000019</v>
      </c>
      <c r="I313" s="254">
        <f t="shared" si="56"/>
        <v>278250</v>
      </c>
    </row>
    <row r="314" spans="1:12" s="5" customFormat="1" ht="10.199999999999999" customHeight="1">
      <c r="A314" s="50"/>
      <c r="B314" s="41"/>
      <c r="C314" s="130"/>
      <c r="D314" s="137"/>
      <c r="E314" s="35"/>
      <c r="F314" s="52"/>
      <c r="G314" s="237"/>
      <c r="H314" s="253"/>
      <c r="I314" s="253"/>
    </row>
    <row r="315" spans="1:12" s="5" customFormat="1">
      <c r="A315" s="50" t="s">
        <v>136</v>
      </c>
      <c r="B315" s="41">
        <v>2060</v>
      </c>
      <c r="C315" s="130">
        <v>600001</v>
      </c>
      <c r="D315" s="210" t="s">
        <v>7</v>
      </c>
      <c r="E315" s="14" t="s">
        <v>60</v>
      </c>
      <c r="F315" s="50"/>
      <c r="G315" s="238">
        <v>0</v>
      </c>
      <c r="H315" s="171">
        <v>85000</v>
      </c>
      <c r="I315" s="255">
        <v>76673</v>
      </c>
    </row>
    <row r="316" spans="1:12" s="5" customFormat="1" ht="10.199999999999999" customHeight="1">
      <c r="A316" s="50"/>
      <c r="B316" s="41"/>
      <c r="C316" s="130"/>
      <c r="D316" s="137"/>
      <c r="E316" s="35"/>
      <c r="F316" s="52"/>
      <c r="G316" s="237"/>
      <c r="H316" s="253"/>
      <c r="I316" s="253"/>
    </row>
    <row r="317" spans="1:12" s="5" customFormat="1" ht="15.6">
      <c r="A317" s="50" t="s">
        <v>2</v>
      </c>
      <c r="B317" s="41"/>
      <c r="C317" s="130">
        <v>699999</v>
      </c>
      <c r="D317" s="210" t="s">
        <v>129</v>
      </c>
      <c r="E317" s="35"/>
      <c r="F317" s="78" t="s">
        <v>139</v>
      </c>
      <c r="G317" s="237">
        <f t="shared" ref="G317:I317" si="57">G313-G315</f>
        <v>20928</v>
      </c>
      <c r="H317" s="237">
        <f t="shared" si="57"/>
        <v>46325.200000000186</v>
      </c>
      <c r="I317" s="254">
        <f t="shared" si="57"/>
        <v>201577</v>
      </c>
    </row>
    <row r="318" spans="1:12" s="5" customFormat="1" ht="10.199999999999999" customHeight="1">
      <c r="A318" s="50"/>
      <c r="B318" s="41"/>
      <c r="C318" s="130"/>
      <c r="D318" s="137"/>
      <c r="E318" s="35"/>
      <c r="F318" s="52"/>
      <c r="G318" s="237"/>
      <c r="H318" s="237"/>
      <c r="I318" s="237"/>
    </row>
    <row r="319" spans="1:12" s="5" customFormat="1" ht="15.6" collapsed="1">
      <c r="A319" s="50" t="s">
        <v>0</v>
      </c>
      <c r="B319" s="41"/>
      <c r="C319" s="130">
        <v>700000</v>
      </c>
      <c r="D319" s="210" t="s">
        <v>157</v>
      </c>
      <c r="E319" s="35"/>
      <c r="F319" s="52"/>
      <c r="G319" s="238">
        <f>G329</f>
        <v>0</v>
      </c>
      <c r="H319" s="171">
        <f>H329</f>
        <v>4000</v>
      </c>
      <c r="I319" s="255">
        <f>I329</f>
        <v>3381</v>
      </c>
    </row>
    <row r="320" spans="1:12" s="5" customFormat="1" hidden="1" outlineLevel="1">
      <c r="A320" s="50" t="s">
        <v>136</v>
      </c>
      <c r="B320" s="44">
        <v>1500</v>
      </c>
      <c r="C320" s="107">
        <v>710001</v>
      </c>
      <c r="D320" s="14" t="s">
        <v>276</v>
      </c>
      <c r="E320" s="14"/>
      <c r="F320" s="50"/>
      <c r="G320" s="215"/>
      <c r="H320" s="215">
        <v>0</v>
      </c>
      <c r="I320" s="215"/>
    </row>
    <row r="321" spans="1:9" s="5" customFormat="1" hidden="1" outlineLevel="1">
      <c r="A321" s="50" t="s">
        <v>136</v>
      </c>
      <c r="B321" s="44">
        <v>1505</v>
      </c>
      <c r="C321" s="107">
        <v>710002</v>
      </c>
      <c r="D321" s="14" t="s">
        <v>277</v>
      </c>
      <c r="E321" s="14"/>
      <c r="F321" s="50"/>
      <c r="G321" s="215"/>
      <c r="H321" s="215">
        <v>0</v>
      </c>
      <c r="I321" s="215"/>
    </row>
    <row r="322" spans="1:9" s="5" customFormat="1" hidden="1" outlineLevel="1">
      <c r="A322" s="50" t="s">
        <v>136</v>
      </c>
      <c r="B322" s="44"/>
      <c r="C322" s="107">
        <v>710003</v>
      </c>
      <c r="D322" s="14" t="s">
        <v>278</v>
      </c>
      <c r="E322" s="14"/>
      <c r="F322" s="50"/>
      <c r="G322" s="215"/>
      <c r="H322" s="215">
        <v>0</v>
      </c>
      <c r="I322" s="215"/>
    </row>
    <row r="323" spans="1:9" s="5" customFormat="1" hidden="1" outlineLevel="1">
      <c r="A323" s="50" t="s">
        <v>136</v>
      </c>
      <c r="B323" s="44"/>
      <c r="C323" s="107">
        <v>710004</v>
      </c>
      <c r="D323" s="14" t="s">
        <v>279</v>
      </c>
      <c r="E323" s="14"/>
      <c r="F323" s="50"/>
      <c r="G323" s="215"/>
      <c r="H323" s="215">
        <v>0</v>
      </c>
      <c r="I323" s="215"/>
    </row>
    <row r="324" spans="1:9" s="5" customFormat="1" hidden="1" outlineLevel="1">
      <c r="A324" s="50" t="s">
        <v>136</v>
      </c>
      <c r="B324" s="44"/>
      <c r="C324" s="107">
        <v>710005</v>
      </c>
      <c r="D324" s="14" t="s">
        <v>280</v>
      </c>
      <c r="E324" s="14"/>
      <c r="F324" s="50"/>
      <c r="G324" s="215"/>
      <c r="H324" s="215">
        <v>0</v>
      </c>
      <c r="I324" s="215"/>
    </row>
    <row r="325" spans="1:9" s="5" customFormat="1" hidden="1" outlineLevel="1">
      <c r="A325" s="50" t="s">
        <v>136</v>
      </c>
      <c r="B325" s="44"/>
      <c r="C325" s="107">
        <v>720001</v>
      </c>
      <c r="D325" s="14" t="s">
        <v>281</v>
      </c>
      <c r="E325" s="14"/>
      <c r="F325" s="50"/>
      <c r="G325" s="215"/>
      <c r="H325" s="215">
        <v>0</v>
      </c>
      <c r="I325" s="215"/>
    </row>
    <row r="326" spans="1:9" s="5" customFormat="1" hidden="1" outlineLevel="1">
      <c r="A326" s="50" t="s">
        <v>136</v>
      </c>
      <c r="B326" s="44">
        <v>2015</v>
      </c>
      <c r="C326" s="127">
        <v>720003</v>
      </c>
      <c r="D326" s="12" t="s">
        <v>86</v>
      </c>
      <c r="E326" s="12"/>
      <c r="F326" s="33"/>
      <c r="G326" s="213"/>
      <c r="H326" s="215">
        <v>4000</v>
      </c>
      <c r="I326" s="246">
        <v>3381</v>
      </c>
    </row>
    <row r="327" spans="1:9" s="5" customFormat="1" hidden="1" outlineLevel="1">
      <c r="A327" s="50" t="s">
        <v>136</v>
      </c>
      <c r="B327" s="44"/>
      <c r="C327" s="127">
        <v>720005</v>
      </c>
      <c r="D327" s="12" t="s">
        <v>282</v>
      </c>
      <c r="E327" s="12"/>
      <c r="F327" s="33"/>
      <c r="G327" s="213"/>
      <c r="H327" s="215">
        <v>0</v>
      </c>
      <c r="I327" s="215"/>
    </row>
    <row r="328" spans="1:9" s="5" customFormat="1" hidden="1" outlineLevel="1">
      <c r="A328" s="50" t="s">
        <v>136</v>
      </c>
      <c r="B328" s="44"/>
      <c r="C328" s="127">
        <v>720006</v>
      </c>
      <c r="D328" s="12" t="s">
        <v>283</v>
      </c>
      <c r="E328" s="12"/>
      <c r="F328" s="33"/>
      <c r="G328" s="213"/>
      <c r="H328" s="215">
        <v>0</v>
      </c>
      <c r="I328" s="215"/>
    </row>
    <row r="329" spans="1:9" s="5" customFormat="1" hidden="1" outlineLevel="1">
      <c r="A329" s="50" t="s">
        <v>2</v>
      </c>
      <c r="B329" s="44">
        <v>1519</v>
      </c>
      <c r="C329" s="130">
        <v>790009</v>
      </c>
      <c r="D329" s="11" t="s">
        <v>149</v>
      </c>
      <c r="E329" s="14"/>
      <c r="F329" s="50"/>
      <c r="G329" s="215">
        <f>SUM(G320:G326)</f>
        <v>0</v>
      </c>
      <c r="H329" s="215">
        <f>SUM(H320:H328)</f>
        <v>4000</v>
      </c>
      <c r="I329" s="243">
        <f>SUM(I320:I328)</f>
        <v>3381</v>
      </c>
    </row>
    <row r="330" spans="1:9" s="5" customFormat="1" ht="10.199999999999999" customHeight="1">
      <c r="A330" s="50"/>
      <c r="B330" s="42"/>
      <c r="C330" s="107"/>
      <c r="D330" s="14"/>
      <c r="E330" s="14"/>
      <c r="F330" s="50"/>
      <c r="G330" s="215"/>
      <c r="H330" s="215"/>
      <c r="I330" s="215"/>
    </row>
    <row r="331" spans="1:9" s="5" customFormat="1" ht="16.2" thickBot="1">
      <c r="A331" s="50" t="s">
        <v>2</v>
      </c>
      <c r="B331" s="41"/>
      <c r="C331" s="130">
        <v>799999</v>
      </c>
      <c r="D331" s="210" t="s">
        <v>162</v>
      </c>
      <c r="E331" s="35"/>
      <c r="F331" s="78" t="s">
        <v>139</v>
      </c>
      <c r="G331" s="239">
        <f t="shared" ref="G331:I331" si="58">G317-G329</f>
        <v>20928</v>
      </c>
      <c r="H331" s="239">
        <f t="shared" si="58"/>
        <v>42325.200000000186</v>
      </c>
      <c r="I331" s="256">
        <f t="shared" si="58"/>
        <v>198196</v>
      </c>
    </row>
    <row r="332" spans="1:9" ht="14.4" thickTop="1">
      <c r="G332" s="213"/>
    </row>
    <row r="333" spans="1:9">
      <c r="G333" s="213"/>
    </row>
    <row r="334" spans="1:9">
      <c r="G334" s="213"/>
    </row>
    <row r="335" spans="1:9">
      <c r="G335" s="213"/>
    </row>
    <row r="336" spans="1:9">
      <c r="G336" s="213"/>
    </row>
    <row r="337" spans="7:7">
      <c r="G337" s="213"/>
    </row>
    <row r="338" spans="7:7">
      <c r="G338" s="213"/>
    </row>
    <row r="339" spans="7:7">
      <c r="G339" s="213"/>
    </row>
    <row r="340" spans="7:7">
      <c r="G340" s="213"/>
    </row>
    <row r="341" spans="7:7">
      <c r="G341" s="213"/>
    </row>
    <row r="342" spans="7:7">
      <c r="G342" s="213"/>
    </row>
    <row r="343" spans="7:7">
      <c r="G343" s="213"/>
    </row>
    <row r="344" spans="7:7">
      <c r="G344" s="213"/>
    </row>
    <row r="345" spans="7:7">
      <c r="G345" s="213"/>
    </row>
  </sheetData>
  <mergeCells count="1">
    <mergeCell ref="F289:F291"/>
  </mergeCells>
  <conditionalFormatting sqref="H313">
    <cfRule type="cellIs" dxfId="11" priority="51" operator="lessThan">
      <formula>0</formula>
    </cfRule>
    <cfRule type="cellIs" dxfId="10" priority="52" operator="greaterThan">
      <formula>0</formula>
    </cfRule>
  </conditionalFormatting>
  <conditionalFormatting sqref="H318:I318 H317">
    <cfRule type="cellIs" dxfId="9" priority="49" operator="lessThan">
      <formula>0</formula>
    </cfRule>
    <cfRule type="cellIs" dxfId="8" priority="50" operator="greaterThan">
      <formula>0</formula>
    </cfRule>
  </conditionalFormatting>
  <conditionalFormatting sqref="G317:G318">
    <cfRule type="cellIs" dxfId="7" priority="47" operator="lessThan">
      <formula>0</formula>
    </cfRule>
    <cfRule type="cellIs" dxfId="6" priority="48" operator="greaterThan">
      <formula>0</formula>
    </cfRule>
  </conditionalFormatting>
  <conditionalFormatting sqref="G331">
    <cfRule type="cellIs" dxfId="5" priority="45" operator="lessThan">
      <formula>0</formula>
    </cfRule>
    <cfRule type="cellIs" dxfId="4" priority="46" operator="greaterThan">
      <formula>0</formula>
    </cfRule>
  </conditionalFormatting>
  <conditionalFormatting sqref="H331">
    <cfRule type="cellIs" dxfId="3" priority="43" operator="lessThan">
      <formula>0</formula>
    </cfRule>
    <cfRule type="cellIs" dxfId="2" priority="44" operator="greaterThan">
      <formula>0</formula>
    </cfRule>
  </conditionalFormatting>
  <conditionalFormatting sqref="G313">
    <cfRule type="cellIs" dxfId="1" priority="41" operator="lessThan">
      <formula>0</formula>
    </cfRule>
    <cfRule type="cellIs" dxfId="0" priority="42" operator="greaterThan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DFF Budget 2018 - 2021</vt:lpstr>
      <vt:lpstr>2018-elite</vt:lpstr>
      <vt:lpstr>2018 Sommerlejr</vt:lpstr>
      <vt:lpstr>2017 Budget - sommerlejr</vt:lpstr>
      <vt:lpstr>DFF Budget 2014-15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Kokborg</dc:creator>
  <cp:lastModifiedBy>Martin Wiuff</cp:lastModifiedBy>
  <cp:lastPrinted>2018-03-03T11:14:44Z</cp:lastPrinted>
  <dcterms:created xsi:type="dcterms:W3CDTF">2014-11-02T18:54:09Z</dcterms:created>
  <dcterms:modified xsi:type="dcterms:W3CDTF">2018-05-14T15:36:12Z</dcterms:modified>
</cp:coreProperties>
</file>